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55BBB2CF-77F9-4289-A7DE-1EADA10E29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ärva Haldus finantsprogno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2" l="1"/>
  <c r="B44" i="2"/>
  <c r="C46" i="2"/>
  <c r="B33" i="2"/>
  <c r="B46" i="2" l="1"/>
  <c r="C27" i="2"/>
  <c r="B27" i="2"/>
  <c r="D27" i="2" s="1"/>
  <c r="B24" i="2"/>
  <c r="C24" i="2"/>
  <c r="D22" i="2"/>
  <c r="E26" i="2"/>
  <c r="F26" i="2"/>
  <c r="G26" i="2"/>
  <c r="H26" i="2"/>
  <c r="I26" i="2"/>
  <c r="J26" i="2"/>
  <c r="K26" i="2"/>
  <c r="L26" i="2"/>
  <c r="M26" i="2"/>
  <c r="N26" i="2"/>
  <c r="O26" i="2"/>
  <c r="P26" i="2"/>
  <c r="D26" i="2"/>
  <c r="C25" i="2"/>
  <c r="B25" i="2"/>
  <c r="D25" i="2" s="1"/>
  <c r="C21" i="2"/>
  <c r="B21" i="2"/>
  <c r="C17" i="2"/>
  <c r="D24" i="2" l="1"/>
  <c r="C16" i="2"/>
  <c r="B16" i="2"/>
  <c r="D44" i="2" l="1"/>
  <c r="E44" i="2" s="1"/>
  <c r="F44" i="2" s="1"/>
  <c r="G44" i="2" s="1"/>
  <c r="H44" i="2" s="1"/>
  <c r="I44" i="2" s="1"/>
  <c r="J44" i="2" s="1"/>
  <c r="K44" i="2" s="1"/>
  <c r="L44" i="2" s="1"/>
  <c r="M44" i="2" s="1"/>
  <c r="N44" i="2" s="1"/>
  <c r="O44" i="2" s="1"/>
  <c r="P44" i="2" s="1"/>
  <c r="D43" i="2"/>
  <c r="E43" i="2" s="1"/>
  <c r="F43" i="2" s="1"/>
  <c r="G43" i="2" s="1"/>
  <c r="H43" i="2" s="1"/>
  <c r="I43" i="2" s="1"/>
  <c r="J43" i="2" s="1"/>
  <c r="K43" i="2" s="1"/>
  <c r="L43" i="2" s="1"/>
  <c r="M43" i="2" s="1"/>
  <c r="N43" i="2" s="1"/>
  <c r="O43" i="2" s="1"/>
  <c r="P43" i="2" s="1"/>
  <c r="D46" i="2" l="1"/>
  <c r="B34" i="2"/>
  <c r="E46" i="2" l="1"/>
  <c r="D33" i="2"/>
  <c r="B7" i="2"/>
  <c r="B3" i="2"/>
  <c r="B6" i="2"/>
  <c r="B8" i="2"/>
  <c r="B9" i="2"/>
  <c r="F46" i="2" l="1"/>
  <c r="B55" i="2"/>
  <c r="B56" i="2" s="1"/>
  <c r="G46" i="2" l="1"/>
  <c r="B79" i="2"/>
  <c r="P3" i="2"/>
  <c r="E88" i="2"/>
  <c r="F88" i="2"/>
  <c r="G88" i="2"/>
  <c r="H88" i="2"/>
  <c r="I88" i="2"/>
  <c r="J88" i="2"/>
  <c r="K88" i="2"/>
  <c r="L88" i="2"/>
  <c r="M88" i="2"/>
  <c r="N88" i="2"/>
  <c r="O88" i="2"/>
  <c r="P88" i="2"/>
  <c r="D88" i="2"/>
  <c r="H46" i="2" l="1"/>
  <c r="C55" i="2"/>
  <c r="I46" i="2" l="1"/>
  <c r="B58" i="2"/>
  <c r="C33" i="2" s="1"/>
  <c r="C9" i="2"/>
  <c r="D9" i="2" s="1"/>
  <c r="C8" i="2"/>
  <c r="J46" i="2" l="1"/>
  <c r="B84" i="2"/>
  <c r="B61" i="2"/>
  <c r="B77" i="2"/>
  <c r="C7" i="2"/>
  <c r="D7" i="2" s="1"/>
  <c r="C6" i="2"/>
  <c r="D6" i="2" s="1"/>
  <c r="D55" i="2"/>
  <c r="K46" i="2" l="1"/>
  <c r="E55" i="2"/>
  <c r="L46" i="2" l="1"/>
  <c r="F55" i="2"/>
  <c r="M46" i="2" l="1"/>
  <c r="G55" i="2"/>
  <c r="N46" i="2" l="1"/>
  <c r="P72" i="2"/>
  <c r="P79" i="2"/>
  <c r="P46" i="2" l="1"/>
  <c r="O46" i="2"/>
  <c r="P34" i="2"/>
  <c r="H55" i="2" l="1"/>
  <c r="E33" i="2"/>
  <c r="I55" i="2" l="1"/>
  <c r="F33" i="2"/>
  <c r="J55" i="2" l="1"/>
  <c r="G33" i="2"/>
  <c r="K55" i="2" l="1"/>
  <c r="H33" i="2"/>
  <c r="I33" i="2"/>
  <c r="C34" i="2"/>
  <c r="L55" i="2" l="1"/>
  <c r="J33" i="2"/>
  <c r="M55" i="2" l="1"/>
  <c r="D34" i="2"/>
  <c r="C58" i="2"/>
  <c r="C84" i="2" s="1"/>
  <c r="C1" i="2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C3" i="2"/>
  <c r="D3" i="2"/>
  <c r="E3" i="2"/>
  <c r="F3" i="2"/>
  <c r="G3" i="2"/>
  <c r="H3" i="2"/>
  <c r="I3" i="2"/>
  <c r="J3" i="2"/>
  <c r="K3" i="2"/>
  <c r="L3" i="2"/>
  <c r="M3" i="2"/>
  <c r="N3" i="2"/>
  <c r="O3" i="2"/>
  <c r="N55" i="2" l="1"/>
  <c r="K33" i="2"/>
  <c r="E27" i="2"/>
  <c r="F27" i="2" s="1"/>
  <c r="G27" i="2" s="1"/>
  <c r="H27" i="2" s="1"/>
  <c r="I27" i="2" s="1"/>
  <c r="J27" i="2" s="1"/>
  <c r="K27" i="2" s="1"/>
  <c r="L27" i="2" s="1"/>
  <c r="M27" i="2" s="1"/>
  <c r="N27" i="2" s="1"/>
  <c r="D21" i="2"/>
  <c r="L33" i="2"/>
  <c r="E58" i="2"/>
  <c r="D8" i="2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B29" i="2"/>
  <c r="B86" i="2" s="1"/>
  <c r="B89" i="2" s="1"/>
  <c r="D23" i="2"/>
  <c r="E23" i="2" s="1"/>
  <c r="F23" i="2" s="1"/>
  <c r="E22" i="2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E24" i="2"/>
  <c r="F24" i="2" s="1"/>
  <c r="G24" i="2" s="1"/>
  <c r="H24" i="2" s="1"/>
  <c r="I24" i="2" s="1"/>
  <c r="J24" i="2" s="1"/>
  <c r="K24" i="2" s="1"/>
  <c r="L24" i="2" s="1"/>
  <c r="M24" i="2" s="1"/>
  <c r="N24" i="2" s="1"/>
  <c r="E21" i="2" l="1"/>
  <c r="F21" i="2" s="1"/>
  <c r="G21" i="2" s="1"/>
  <c r="H21" i="2" s="1"/>
  <c r="I21" i="2" s="1"/>
  <c r="J21" i="2" s="1"/>
  <c r="K21" i="2" s="1"/>
  <c r="L21" i="2" s="1"/>
  <c r="M21" i="2" s="1"/>
  <c r="N21" i="2" s="1"/>
  <c r="G23" i="2"/>
  <c r="H23" i="2" s="1"/>
  <c r="I23" i="2" s="1"/>
  <c r="B36" i="2"/>
  <c r="B49" i="2" s="1"/>
  <c r="B47" i="2" s="1"/>
  <c r="B62" i="2"/>
  <c r="B63" i="2" s="1"/>
  <c r="B78" i="2"/>
  <c r="O27" i="2"/>
  <c r="P27" i="2" s="1"/>
  <c r="O24" i="2"/>
  <c r="P24" i="2" s="1"/>
  <c r="P8" i="2"/>
  <c r="O18" i="2"/>
  <c r="O55" i="2"/>
  <c r="D58" i="2"/>
  <c r="E18" i="2"/>
  <c r="D18" i="2"/>
  <c r="E83" i="2"/>
  <c r="F83" i="2" s="1"/>
  <c r="G83" i="2" s="1"/>
  <c r="H83" i="2" s="1"/>
  <c r="I83" i="2" s="1"/>
  <c r="J83" i="2" s="1"/>
  <c r="K83" i="2" s="1"/>
  <c r="L83" i="2" s="1"/>
  <c r="M83" i="2" s="1"/>
  <c r="N83" i="2" s="1"/>
  <c r="O83" i="2" s="1"/>
  <c r="P83" i="2" s="1"/>
  <c r="D60" i="2"/>
  <c r="E60" i="2" s="1"/>
  <c r="F60" i="2" s="1"/>
  <c r="G60" i="2" s="1"/>
  <c r="H60" i="2" s="1"/>
  <c r="I60" i="2" s="1"/>
  <c r="J60" i="2" s="1"/>
  <c r="K60" i="2" s="1"/>
  <c r="L60" i="2" s="1"/>
  <c r="M60" i="2" s="1"/>
  <c r="N60" i="2" s="1"/>
  <c r="O60" i="2" s="1"/>
  <c r="P60" i="2" s="1"/>
  <c r="D76" i="2"/>
  <c r="E76" i="2" s="1"/>
  <c r="F76" i="2" s="1"/>
  <c r="G76" i="2" s="1"/>
  <c r="H76" i="2" s="1"/>
  <c r="I76" i="2" s="1"/>
  <c r="J76" i="2" s="1"/>
  <c r="K76" i="2" s="1"/>
  <c r="L76" i="2" s="1"/>
  <c r="M76" i="2" s="1"/>
  <c r="N76" i="2" s="1"/>
  <c r="O76" i="2" s="1"/>
  <c r="P76" i="2" s="1"/>
  <c r="J23" i="2" l="1"/>
  <c r="B80" i="2"/>
  <c r="B81" i="2"/>
  <c r="O21" i="2"/>
  <c r="P21" i="2" s="1"/>
  <c r="P55" i="2"/>
  <c r="M33" i="2"/>
  <c r="F18" i="2"/>
  <c r="F58" i="2"/>
  <c r="G58" i="2"/>
  <c r="G18" i="2"/>
  <c r="D79" i="2"/>
  <c r="E79" i="2"/>
  <c r="F79" i="2"/>
  <c r="G79" i="2"/>
  <c r="H79" i="2"/>
  <c r="I79" i="2"/>
  <c r="J79" i="2"/>
  <c r="K79" i="2"/>
  <c r="L79" i="2"/>
  <c r="M79" i="2"/>
  <c r="N79" i="2"/>
  <c r="O79" i="2"/>
  <c r="C79" i="2"/>
  <c r="K23" i="2" l="1"/>
  <c r="N33" i="2"/>
  <c r="H58" i="2"/>
  <c r="H18" i="2"/>
  <c r="L23" i="2" l="1"/>
  <c r="O33" i="2"/>
  <c r="P33" i="2"/>
  <c r="I58" i="2"/>
  <c r="I18" i="2"/>
  <c r="E34" i="2"/>
  <c r="F34" i="2"/>
  <c r="G34" i="2"/>
  <c r="H34" i="2"/>
  <c r="I34" i="2"/>
  <c r="J34" i="2"/>
  <c r="K34" i="2"/>
  <c r="L34" i="2"/>
  <c r="M34" i="2"/>
  <c r="N34" i="2"/>
  <c r="O34" i="2"/>
  <c r="M23" i="2" l="1"/>
  <c r="J58" i="2"/>
  <c r="J1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D54" i="2"/>
  <c r="E54" i="2" s="1"/>
  <c r="F54" i="2" s="1"/>
  <c r="G54" i="2" s="1"/>
  <c r="H54" i="2" s="1"/>
  <c r="I54" i="2" s="1"/>
  <c r="J54" i="2" s="1"/>
  <c r="K54" i="2" s="1"/>
  <c r="L54" i="2" s="1"/>
  <c r="M54" i="2" s="1"/>
  <c r="N54" i="2" s="1"/>
  <c r="O54" i="2" s="1"/>
  <c r="P54" i="2" s="1"/>
  <c r="D42" i="2"/>
  <c r="E42" i="2" s="1"/>
  <c r="F42" i="2" s="1"/>
  <c r="G42" i="2" s="1"/>
  <c r="H42" i="2" s="1"/>
  <c r="I42" i="2" s="1"/>
  <c r="J42" i="2" s="1"/>
  <c r="K42" i="2" s="1"/>
  <c r="L42" i="2" s="1"/>
  <c r="M42" i="2" s="1"/>
  <c r="N42" i="2" s="1"/>
  <c r="O42" i="2" s="1"/>
  <c r="P42" i="2" s="1"/>
  <c r="C38" i="2"/>
  <c r="D38" i="2" s="1"/>
  <c r="E38" i="2" s="1"/>
  <c r="F38" i="2" s="1"/>
  <c r="G38" i="2" s="1"/>
  <c r="H38" i="2" s="1"/>
  <c r="I38" i="2" s="1"/>
  <c r="J38" i="2" s="1"/>
  <c r="K38" i="2" s="1"/>
  <c r="L38" i="2" s="1"/>
  <c r="M38" i="2" s="1"/>
  <c r="N38" i="2" s="1"/>
  <c r="O38" i="2" s="1"/>
  <c r="P38" i="2" s="1"/>
  <c r="N23" i="2" l="1"/>
  <c r="P56" i="2"/>
  <c r="K58" i="2"/>
  <c r="K18" i="2"/>
  <c r="E25" i="2"/>
  <c r="F25" i="2" s="1"/>
  <c r="G25" i="2" s="1"/>
  <c r="H25" i="2" s="1"/>
  <c r="I25" i="2" s="1"/>
  <c r="J25" i="2" s="1"/>
  <c r="K25" i="2" s="1"/>
  <c r="L25" i="2" s="1"/>
  <c r="M25" i="2" s="1"/>
  <c r="N25" i="2" s="1"/>
  <c r="B70" i="2"/>
  <c r="B72" i="2"/>
  <c r="O23" i="2" l="1"/>
  <c r="O25" i="2"/>
  <c r="P25" i="2" s="1"/>
  <c r="L58" i="2"/>
  <c r="L18" i="2"/>
  <c r="B69" i="2"/>
  <c r="B71" i="2" s="1"/>
  <c r="P23" i="2" l="1"/>
  <c r="N58" i="2"/>
  <c r="M18" i="2"/>
  <c r="C69" i="2"/>
  <c r="D56" i="2"/>
  <c r="C56" i="2"/>
  <c r="C77" i="2"/>
  <c r="C61" i="2"/>
  <c r="M58" i="2" l="1"/>
  <c r="N18" i="2"/>
  <c r="D69" i="2"/>
  <c r="D84" i="2"/>
  <c r="E69" i="2"/>
  <c r="E84" i="2"/>
  <c r="E56" i="2"/>
  <c r="D77" i="2"/>
  <c r="D61" i="2"/>
  <c r="E77" i="2"/>
  <c r="E61" i="2"/>
  <c r="F84" i="2"/>
  <c r="P18" i="2" l="1"/>
  <c r="F56" i="2"/>
  <c r="G84" i="2"/>
  <c r="F69" i="2"/>
  <c r="F61" i="2"/>
  <c r="F77" i="2"/>
  <c r="P58" i="2" l="1"/>
  <c r="O58" i="2"/>
  <c r="G56" i="2"/>
  <c r="H84" i="2"/>
  <c r="G61" i="2"/>
  <c r="G77" i="2"/>
  <c r="G69" i="2"/>
  <c r="P77" i="2" l="1"/>
  <c r="P69" i="2"/>
  <c r="P61" i="2"/>
  <c r="P84" i="2"/>
  <c r="H56" i="2"/>
  <c r="H77" i="2"/>
  <c r="H69" i="2"/>
  <c r="H61" i="2"/>
  <c r="I84" i="2"/>
  <c r="I56" i="2" l="1"/>
  <c r="J84" i="2"/>
  <c r="I77" i="2"/>
  <c r="I69" i="2"/>
  <c r="I61" i="2"/>
  <c r="J56" i="2" l="1"/>
  <c r="K84" i="2"/>
  <c r="J77" i="2"/>
  <c r="J69" i="2"/>
  <c r="J61" i="2"/>
  <c r="K56" i="2" l="1"/>
  <c r="L84" i="2"/>
  <c r="K69" i="2"/>
  <c r="K61" i="2"/>
  <c r="K77" i="2"/>
  <c r="L56" i="2" l="1"/>
  <c r="L69" i="2"/>
  <c r="L61" i="2"/>
  <c r="L77" i="2"/>
  <c r="M84" i="2"/>
  <c r="M56" i="2" l="1"/>
  <c r="O84" i="2"/>
  <c r="M69" i="2"/>
  <c r="M61" i="2"/>
  <c r="M77" i="2"/>
  <c r="N84" i="2"/>
  <c r="O56" i="2" l="1"/>
  <c r="N56" i="2"/>
  <c r="O61" i="2"/>
  <c r="O77" i="2"/>
  <c r="O69" i="2"/>
  <c r="N69" i="2"/>
  <c r="N61" i="2"/>
  <c r="N77" i="2"/>
  <c r="E6" i="2" l="1"/>
  <c r="D16" i="2"/>
  <c r="F6" i="2" l="1"/>
  <c r="E16" i="2"/>
  <c r="F16" i="2" l="1"/>
  <c r="G6" i="2"/>
  <c r="H6" i="2" l="1"/>
  <c r="G16" i="2"/>
  <c r="H16" i="2" l="1"/>
  <c r="I6" i="2"/>
  <c r="J6" i="2" l="1"/>
  <c r="I16" i="2"/>
  <c r="K6" i="2" l="1"/>
  <c r="J16" i="2"/>
  <c r="K16" i="2" l="1"/>
  <c r="L6" i="2"/>
  <c r="M6" i="2" l="1"/>
  <c r="L16" i="2"/>
  <c r="M16" i="2" l="1"/>
  <c r="N6" i="2"/>
  <c r="O6" i="2" l="1"/>
  <c r="O16" i="2" s="1"/>
  <c r="N16" i="2"/>
  <c r="P6" i="2" l="1"/>
  <c r="P16" i="2" s="1"/>
  <c r="C29" i="2"/>
  <c r="C86" i="2" s="1"/>
  <c r="C89" i="2" s="1"/>
  <c r="D17" i="2"/>
  <c r="E7" i="2" l="1"/>
  <c r="F7" i="2" s="1"/>
  <c r="C70" i="2"/>
  <c r="C71" i="2" s="1"/>
  <c r="C78" i="2"/>
  <c r="C36" i="2"/>
  <c r="C49" i="2" s="1"/>
  <c r="C47" i="2" s="1"/>
  <c r="C62" i="2"/>
  <c r="C63" i="2" s="1"/>
  <c r="E17" i="2" l="1"/>
  <c r="C80" i="2"/>
  <c r="C81" i="2"/>
  <c r="G7" i="2"/>
  <c r="F17" i="2"/>
  <c r="H7" i="2" l="1"/>
  <c r="G17" i="2"/>
  <c r="H17" i="2" l="1"/>
  <c r="I7" i="2"/>
  <c r="J7" i="2" l="1"/>
  <c r="I17" i="2"/>
  <c r="K7" i="2" l="1"/>
  <c r="J17" i="2"/>
  <c r="L7" i="2" l="1"/>
  <c r="K17" i="2"/>
  <c r="L17" i="2" l="1"/>
  <c r="M7" i="2"/>
  <c r="M17" i="2" l="1"/>
  <c r="N7" i="2"/>
  <c r="N17" i="2" l="1"/>
  <c r="O7" i="2"/>
  <c r="O17" i="2" s="1"/>
  <c r="P7" i="2" l="1"/>
  <c r="P17" i="2" s="1"/>
  <c r="E9" i="2"/>
  <c r="E19" i="2" s="1"/>
  <c r="E29" i="2" s="1"/>
  <c r="D19" i="2"/>
  <c r="D29" i="2"/>
  <c r="D86" i="2" s="1"/>
  <c r="D89" i="2" s="1"/>
  <c r="D90" i="2" s="1"/>
  <c r="F9" i="2" l="1"/>
  <c r="D36" i="2"/>
  <c r="D49" i="2" s="1"/>
  <c r="D47" i="2" s="1"/>
  <c r="D62" i="2"/>
  <c r="D63" i="2" s="1"/>
  <c r="D66" i="2" s="1"/>
  <c r="E36" i="2"/>
  <c r="E49" i="2" s="1"/>
  <c r="E47" i="2" s="1"/>
  <c r="E78" i="2"/>
  <c r="E86" i="2"/>
  <c r="E89" i="2" s="1"/>
  <c r="E90" i="2" s="1"/>
  <c r="E62" i="2"/>
  <c r="E63" i="2" s="1"/>
  <c r="E66" i="2" s="1"/>
  <c r="E70" i="2"/>
  <c r="E71" i="2" s="1"/>
  <c r="D70" i="2"/>
  <c r="D71" i="2" s="1"/>
  <c r="D78" i="2"/>
  <c r="G9" i="2" l="1"/>
  <c r="F19" i="2"/>
  <c r="F29" i="2" s="1"/>
  <c r="E81" i="2"/>
  <c r="E80" i="2"/>
  <c r="D80" i="2"/>
  <c r="D81" i="2"/>
  <c r="F86" i="2" l="1"/>
  <c r="F89" i="2" s="1"/>
  <c r="F90" i="2" s="1"/>
  <c r="F70" i="2"/>
  <c r="F71" i="2" s="1"/>
  <c r="F36" i="2"/>
  <c r="F49" i="2" s="1"/>
  <c r="F47" i="2" s="1"/>
  <c r="F78" i="2"/>
  <c r="F62" i="2"/>
  <c r="F63" i="2" s="1"/>
  <c r="F66" i="2" s="1"/>
  <c r="G19" i="2"/>
  <c r="G29" i="2" s="1"/>
  <c r="H9" i="2"/>
  <c r="H19" i="2" l="1"/>
  <c r="H29" i="2" s="1"/>
  <c r="I9" i="2"/>
  <c r="G86" i="2"/>
  <c r="G89" i="2" s="1"/>
  <c r="G90" i="2" s="1"/>
  <c r="G36" i="2"/>
  <c r="G49" i="2" s="1"/>
  <c r="G47" i="2" s="1"/>
  <c r="G62" i="2"/>
  <c r="G63" i="2" s="1"/>
  <c r="G66" i="2" s="1"/>
  <c r="G70" i="2"/>
  <c r="G71" i="2" s="1"/>
  <c r="G78" i="2"/>
  <c r="F80" i="2"/>
  <c r="F81" i="2"/>
  <c r="G81" i="2" l="1"/>
  <c r="G80" i="2"/>
  <c r="I19" i="2"/>
  <c r="I29" i="2" s="1"/>
  <c r="J9" i="2"/>
  <c r="H36" i="2"/>
  <c r="H49" i="2" s="1"/>
  <c r="H47" i="2" s="1"/>
  <c r="H78" i="2"/>
  <c r="H70" i="2"/>
  <c r="H71" i="2" s="1"/>
  <c r="H62" i="2"/>
  <c r="H63" i="2" s="1"/>
  <c r="H66" i="2" s="1"/>
  <c r="H86" i="2"/>
  <c r="H89" i="2" s="1"/>
  <c r="H90" i="2" s="1"/>
  <c r="H81" i="2" l="1"/>
  <c r="H80" i="2"/>
  <c r="K9" i="2"/>
  <c r="J19" i="2"/>
  <c r="J29" i="2" s="1"/>
  <c r="I62" i="2"/>
  <c r="I63" i="2" s="1"/>
  <c r="I66" i="2" s="1"/>
  <c r="I86" i="2"/>
  <c r="I89" i="2" s="1"/>
  <c r="I90" i="2" s="1"/>
  <c r="I36" i="2"/>
  <c r="I49" i="2" s="1"/>
  <c r="I47" i="2" s="1"/>
  <c r="I78" i="2"/>
  <c r="I70" i="2"/>
  <c r="I71" i="2" s="1"/>
  <c r="I80" i="2" l="1"/>
  <c r="I81" i="2"/>
  <c r="J78" i="2"/>
  <c r="J62" i="2"/>
  <c r="J63" i="2" s="1"/>
  <c r="J66" i="2" s="1"/>
  <c r="J86" i="2"/>
  <c r="J89" i="2" s="1"/>
  <c r="J90" i="2" s="1"/>
  <c r="J36" i="2"/>
  <c r="J49" i="2" s="1"/>
  <c r="J47" i="2" s="1"/>
  <c r="J70" i="2"/>
  <c r="J71" i="2" s="1"/>
  <c r="L9" i="2"/>
  <c r="K19" i="2"/>
  <c r="K29" i="2" s="1"/>
  <c r="M9" i="2" l="1"/>
  <c r="L19" i="2"/>
  <c r="L29" i="2" s="1"/>
  <c r="J80" i="2"/>
  <c r="J81" i="2"/>
  <c r="K86" i="2"/>
  <c r="K89" i="2" s="1"/>
  <c r="K90" i="2" s="1"/>
  <c r="K78" i="2"/>
  <c r="K36" i="2"/>
  <c r="K49" i="2" s="1"/>
  <c r="K47" i="2" s="1"/>
  <c r="K62" i="2"/>
  <c r="K63" i="2" s="1"/>
  <c r="K66" i="2" s="1"/>
  <c r="K70" i="2"/>
  <c r="K71" i="2" s="1"/>
  <c r="L70" i="2" l="1"/>
  <c r="L71" i="2" s="1"/>
  <c r="L36" i="2"/>
  <c r="L49" i="2" s="1"/>
  <c r="L47" i="2" s="1"/>
  <c r="L62" i="2"/>
  <c r="L63" i="2" s="1"/>
  <c r="L66" i="2" s="1"/>
  <c r="L78" i="2"/>
  <c r="L86" i="2"/>
  <c r="L89" i="2" s="1"/>
  <c r="L90" i="2" s="1"/>
  <c r="K81" i="2"/>
  <c r="K80" i="2"/>
  <c r="N9" i="2"/>
  <c r="M19" i="2"/>
  <c r="M29" i="2" s="1"/>
  <c r="O9" i="2" l="1"/>
  <c r="N19" i="2"/>
  <c r="N29" i="2" s="1"/>
  <c r="L80" i="2"/>
  <c r="L81" i="2"/>
  <c r="M78" i="2"/>
  <c r="M36" i="2"/>
  <c r="M49" i="2" s="1"/>
  <c r="M47" i="2" s="1"/>
  <c r="M62" i="2"/>
  <c r="M63" i="2" s="1"/>
  <c r="M66" i="2" s="1"/>
  <c r="M70" i="2"/>
  <c r="M71" i="2" s="1"/>
  <c r="M86" i="2"/>
  <c r="M89" i="2" s="1"/>
  <c r="M90" i="2" s="1"/>
  <c r="M80" i="2" l="1"/>
  <c r="M81" i="2"/>
  <c r="N70" i="2"/>
  <c r="N71" i="2" s="1"/>
  <c r="N86" i="2"/>
  <c r="N89" i="2" s="1"/>
  <c r="N90" i="2" s="1"/>
  <c r="N36" i="2"/>
  <c r="N49" i="2" s="1"/>
  <c r="N47" i="2" s="1"/>
  <c r="N78" i="2"/>
  <c r="N62" i="2"/>
  <c r="N63" i="2" s="1"/>
  <c r="N66" i="2" s="1"/>
  <c r="O19" i="2"/>
  <c r="O29" i="2" s="1"/>
  <c r="P9" i="2"/>
  <c r="P19" i="2" s="1"/>
  <c r="P29" i="2" s="1"/>
  <c r="O78" i="2" l="1"/>
  <c r="O36" i="2"/>
  <c r="O49" i="2" s="1"/>
  <c r="O47" i="2" s="1"/>
  <c r="O86" i="2"/>
  <c r="O89" i="2" s="1"/>
  <c r="O90" i="2" s="1"/>
  <c r="O70" i="2"/>
  <c r="O71" i="2" s="1"/>
  <c r="O62" i="2"/>
  <c r="O63" i="2" s="1"/>
  <c r="O66" i="2" s="1"/>
  <c r="N80" i="2"/>
  <c r="N81" i="2"/>
  <c r="P78" i="2"/>
  <c r="P62" i="2"/>
  <c r="P63" i="2" s="1"/>
  <c r="P66" i="2" s="1"/>
  <c r="P86" i="2"/>
  <c r="P89" i="2" s="1"/>
  <c r="P36" i="2"/>
  <c r="P49" i="2" s="1"/>
  <c r="P47" i="2" s="1"/>
  <c r="P70" i="2"/>
  <c r="P71" i="2" s="1"/>
  <c r="P90" i="2" l="1"/>
  <c r="P81" i="2"/>
  <c r="P80" i="2"/>
  <c r="O81" i="2"/>
  <c r="O80" i="2"/>
</calcChain>
</file>

<file path=xl/sharedStrings.xml><?xml version="1.0" encoding="utf-8"?>
<sst xmlns="http://schemas.openxmlformats.org/spreadsheetml/2006/main" count="73" uniqueCount="65">
  <si>
    <t>Hinnamuutuse indeks</t>
  </si>
  <si>
    <t>Vee-erikasutustasu</t>
  </si>
  <si>
    <t>Tööjõukulu muutuse indeks</t>
  </si>
  <si>
    <t>TOOTMISMAHUD</t>
  </si>
  <si>
    <t>MUUTUVKULUD</t>
  </si>
  <si>
    <t>PÜSIKULUD</t>
  </si>
  <si>
    <t>Tööjõukulu</t>
  </si>
  <si>
    <t>Reovee saastetasu</t>
  </si>
  <si>
    <t>VESI MÜÜDUD KOKKU</t>
  </si>
  <si>
    <t>REOVESI MÜÜDUD KOKKU</t>
  </si>
  <si>
    <t>TEGEVUSKULUDE JA LAENUKATTKORDAJA TÄITMINE</t>
  </si>
  <si>
    <t>TEGEVUSTULUD</t>
  </si>
  <si>
    <t>Elektrikulu reoveepuhasti ja -pumplad</t>
  </si>
  <si>
    <t>Elektrikulu joogiveevarustus</t>
  </si>
  <si>
    <t xml:space="preserve">Muud kulud </t>
  </si>
  <si>
    <t>FINANTSKOHUSTUSED</t>
  </si>
  <si>
    <t>TULUD KOKKU</t>
  </si>
  <si>
    <t>RAHAVOOG ENNE LAENUTEENINDUST</t>
  </si>
  <si>
    <t>LAENUKATTEKORDAJA</t>
  </si>
  <si>
    <t>TEGEVUSKULUD</t>
  </si>
  <si>
    <t>Teenuste kulu kuus keskmisel ühiktarbimisel</t>
  </si>
  <si>
    <t>Teenuse kulukus (%)</t>
  </si>
  <si>
    <t>OMAKAPITALI KULUM</t>
  </si>
  <si>
    <t>VEEMAJANDUSE EBITDA</t>
  </si>
  <si>
    <t>VEEMAJANDUSE TULEMINÄITAJAD</t>
  </si>
  <si>
    <t>TEGEVUSKULUD (KULUMITA)</t>
  </si>
  <si>
    <t>Reovesi reoveepuhastitesse (m3)</t>
  </si>
  <si>
    <t>VEEMAJANDUSE EBIT (OMAKAP.KULUMi KATMINE)</t>
  </si>
  <si>
    <t>Masinate ja kütuse kulud</t>
  </si>
  <si>
    <t>Hooldus (sh.kaubad, toore sisseost), vesi</t>
  </si>
  <si>
    <t>Hooldus (sh.kaubad, toore, sisseost), kanal.</t>
  </si>
  <si>
    <t>Sihtfinantseeringutevälise põhivara kulum</t>
  </si>
  <si>
    <t>Põhjendatud tulukus varadelt (WACC väärtusel 6,28%)</t>
  </si>
  <si>
    <t>Põhivara jääkmaksumus põhjendatud tulususe arvestamiseks</t>
  </si>
  <si>
    <t>RAHAVOOG (EBITDA) ENNE LAENUTEENINDUST</t>
  </si>
  <si>
    <t>SISSETULEKUD: TEGEVUSTULUD</t>
  </si>
  <si>
    <t>VÄLJAMINEKUD: TEGEVUSKULUD</t>
  </si>
  <si>
    <t xml:space="preserve">VÄLJAMINEKUD: INVESTEERINGUD </t>
  </si>
  <si>
    <t>VÄLJAMINEKUD: FINANTSKOHUSTUSED</t>
  </si>
  <si>
    <r>
      <t>MÜÜGIMAHT TEENUSPIIRKONNAS (M</t>
    </r>
    <r>
      <rPr>
        <b/>
        <sz val="11"/>
        <color theme="1"/>
        <rFont val="Calibri"/>
        <family val="2"/>
        <charset val="186"/>
      </rPr>
      <t>³)</t>
    </r>
  </si>
  <si>
    <t>Veetoodang (m3)</t>
  </si>
  <si>
    <t>VEEMAJANDUSTEENUSTE TEGEVUSKULUD KOKKU</t>
  </si>
  <si>
    <t>Käibekapitaliosa (5%) põhjendatud tulususe arvestamiseks</t>
  </si>
  <si>
    <t>MUU VEETEENUSTE TULU</t>
  </si>
  <si>
    <t>VEETEENUSTE PÕHJENDATUD TULUD (KONKURENTSIAMETI METOD.)</t>
  </si>
  <si>
    <r>
      <t>TEENUSTASUD TEENUSPIIRKONDADES m</t>
    </r>
    <r>
      <rPr>
        <b/>
        <sz val="11"/>
        <color theme="1"/>
        <rFont val="Calibri"/>
        <family val="2"/>
        <charset val="186"/>
      </rPr>
      <t>³</t>
    </r>
    <r>
      <rPr>
        <b/>
        <sz val="11"/>
        <color theme="1"/>
        <rFont val="Calibri"/>
        <family val="2"/>
        <charset val="186"/>
        <scheme val="minor"/>
      </rPr>
      <t xml:space="preserve"> kohta käibemaksuta</t>
    </r>
  </si>
  <si>
    <t>PÕHJENDATUD TARIIFITULUD</t>
  </si>
  <si>
    <t>Elanike keskmine ühiktarbimine l/p/in</t>
  </si>
  <si>
    <t>SISSETULEKUD: INVESTEERINGULAENUDE VÕTMINE</t>
  </si>
  <si>
    <t>LAENUKATTEKORDAJA ARVESTUS</t>
  </si>
  <si>
    <t>Veeteenustesse arvestatavate kulu- ja põhjendatud tulususkomponentide summa</t>
  </si>
  <si>
    <t>TARIIFIDE TULU, PROGNOOSTULU KOKKU</t>
  </si>
  <si>
    <t>FINANTSKOHUSTUSTE KATMINE (INTRESSID)</t>
  </si>
  <si>
    <t>KUMULATIIVNE RAHAVOOG AL 2025</t>
  </si>
  <si>
    <t>FINANTSKOHUSTUSTE KATMINE (PÕHIOSAMAKSED)</t>
  </si>
  <si>
    <t>VEEMAJANDUSE RAHAVOOGUDE PROGNOOS ALATES 2025.A</t>
  </si>
  <si>
    <t>RAHAVOOG PROGNOOSAASTATE LÕIKES</t>
  </si>
  <si>
    <t>IT, administreerimis- ja kommunikatsiooniteenuste kulud</t>
  </si>
  <si>
    <t>Vesi</t>
  </si>
  <si>
    <t>Reoveepuhastusteenuse sisseost</t>
  </si>
  <si>
    <t>REOVEETEENUSE SISSEOSTUSMAHUD</t>
  </si>
  <si>
    <t>Reovee puhastusteenus Järva-Jaani alev (m3)</t>
  </si>
  <si>
    <t>Reovesi</t>
  </si>
  <si>
    <t>Leibkonnaliikme keskmine sissetulek kuus (Järvamaa)</t>
  </si>
  <si>
    <t>AS JÄRVA HALDUS VEEMAJANDUSE FINANTSPROGNOOS 2025-2037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</si>
</sst>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0.00000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6" fillId="2" borderId="1" xfId="0" applyFont="1" applyFill="1" applyBorder="1"/>
    <xf numFmtId="0" fontId="5" fillId="2" borderId="2" xfId="0" applyFont="1" applyFill="1" applyBorder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2" xfId="0" applyFont="1" applyFill="1" applyBorder="1"/>
    <xf numFmtId="0" fontId="0" fillId="2" borderId="0" xfId="0" applyFill="1"/>
    <xf numFmtId="1" fontId="7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4" fillId="2" borderId="0" xfId="0" applyFont="1" applyFill="1"/>
    <xf numFmtId="0" fontId="7" fillId="2" borderId="0" xfId="0" applyFont="1" applyFill="1"/>
    <xf numFmtId="2" fontId="5" fillId="2" borderId="1" xfId="0" applyNumberFormat="1" applyFont="1" applyFill="1" applyBorder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11" fillId="2" borderId="1" xfId="0" applyFont="1" applyFill="1" applyBorder="1"/>
    <xf numFmtId="165" fontId="11" fillId="2" borderId="1" xfId="1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2" fontId="0" fillId="0" borderId="0" xfId="0" applyNumberFormat="1"/>
    <xf numFmtId="0" fontId="13" fillId="2" borderId="0" xfId="0" applyFont="1" applyFill="1"/>
    <xf numFmtId="164" fontId="4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7" fillId="2" borderId="1" xfId="0" applyFont="1" applyFill="1" applyBorder="1"/>
    <xf numFmtId="0" fontId="16" fillId="2" borderId="1" xfId="0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5" fontId="7" fillId="2" borderId="1" xfId="5" applyNumberFormat="1" applyFont="1" applyFill="1" applyBorder="1" applyAlignment="1">
      <alignment horizontal="center"/>
    </xf>
    <xf numFmtId="1" fontId="13" fillId="2" borderId="0" xfId="0" applyNumberFormat="1" applyFont="1" applyFill="1"/>
    <xf numFmtId="1" fontId="8" fillId="2" borderId="1" xfId="0" applyNumberFormat="1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4" fillId="2" borderId="1" xfId="0" applyFont="1" applyFill="1" applyBorder="1"/>
    <xf numFmtId="3" fontId="8" fillId="2" borderId="1" xfId="0" applyNumberFormat="1" applyFont="1" applyFill="1" applyBorder="1" applyAlignment="1">
      <alignment horizontal="center"/>
    </xf>
    <xf numFmtId="0" fontId="8" fillId="2" borderId="2" xfId="0" applyFont="1" applyFill="1" applyBorder="1"/>
    <xf numFmtId="3" fontId="7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7" fontId="0" fillId="2" borderId="0" xfId="0" applyNumberFormat="1" applyFill="1"/>
    <xf numFmtId="2" fontId="8" fillId="2" borderId="1" xfId="0" applyNumberFormat="1" applyFont="1" applyFill="1" applyBorder="1" applyAlignment="1">
      <alignment horizontal="center"/>
    </xf>
    <xf numFmtId="3" fontId="0" fillId="2" borderId="0" xfId="0" applyNumberFormat="1" applyFill="1"/>
    <xf numFmtId="2" fontId="6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2" fontId="7" fillId="2" borderId="1" xfId="0" quotePrefix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</cellXfs>
  <cellStyles count="7">
    <cellStyle name="Normaallaad 2" xfId="5" xr:uid="{A4D3E4B3-2970-43DE-B274-E5FAB0131943}"/>
    <cellStyle name="Normaallaad 4" xfId="2" xr:uid="{00000000-0005-0000-0000-000000000000}"/>
    <cellStyle name="Normal" xfId="0" builtinId="0"/>
    <cellStyle name="Normal 2" xfId="3" xr:uid="{00000000-0005-0000-0000-000002000000}"/>
    <cellStyle name="Percent" xfId="1" builtinId="5"/>
    <cellStyle name="Percent 2" xfId="4" xr:uid="{00000000-0005-0000-0000-000004000000}"/>
    <cellStyle name="Protsent 2" xfId="6" xr:uid="{56187100-B403-47A7-B3B7-3149303A88C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A5423-49AE-4E53-ABC3-0B14BA8FF529}">
  <dimension ref="A1:R118"/>
  <sheetViews>
    <sheetView tabSelected="1" zoomScale="91" zoomScaleNormal="91" workbookViewId="0">
      <selection activeCell="A12" sqref="A12"/>
    </sheetView>
  </sheetViews>
  <sheetFormatPr defaultRowHeight="14.5" x14ac:dyDescent="0.35"/>
  <cols>
    <col min="1" max="1" width="57.54296875" customWidth="1"/>
    <col min="2" max="2" width="11.36328125" customWidth="1"/>
    <col min="3" max="3" width="11.1796875" customWidth="1"/>
    <col min="4" max="4" width="11" customWidth="1"/>
    <col min="5" max="5" width="11.54296875" customWidth="1"/>
    <col min="6" max="6" width="10.6328125" customWidth="1"/>
    <col min="7" max="7" width="11.90625" customWidth="1"/>
    <col min="8" max="8" width="11.6328125" customWidth="1"/>
    <col min="9" max="9" width="11.1796875" customWidth="1"/>
    <col min="10" max="10" width="12.1796875" customWidth="1"/>
    <col min="11" max="11" width="12.54296875" customWidth="1"/>
    <col min="12" max="12" width="12.6328125" customWidth="1"/>
    <col min="13" max="13" width="12.36328125" customWidth="1"/>
    <col min="14" max="14" width="13" customWidth="1"/>
    <col min="15" max="15" width="12.6328125" customWidth="1"/>
    <col min="16" max="16" width="13" customWidth="1"/>
    <col min="17" max="17" width="11.1796875" customWidth="1"/>
    <col min="18" max="18" width="10.1796875" customWidth="1"/>
    <col min="19" max="19" width="11" customWidth="1"/>
  </cols>
  <sheetData>
    <row r="1" spans="1:18" x14ac:dyDescent="0.35">
      <c r="A1" s="25" t="s">
        <v>64</v>
      </c>
      <c r="B1" s="27">
        <v>2023</v>
      </c>
      <c r="C1" s="27">
        <f t="shared" ref="C1:P1" si="0">B1+1</f>
        <v>2024</v>
      </c>
      <c r="D1" s="27">
        <f t="shared" si="0"/>
        <v>2025</v>
      </c>
      <c r="E1" s="27">
        <f t="shared" si="0"/>
        <v>2026</v>
      </c>
      <c r="F1" s="27">
        <f t="shared" si="0"/>
        <v>2027</v>
      </c>
      <c r="G1" s="27">
        <f t="shared" si="0"/>
        <v>2028</v>
      </c>
      <c r="H1" s="27">
        <f t="shared" si="0"/>
        <v>2029</v>
      </c>
      <c r="I1" s="27">
        <f t="shared" si="0"/>
        <v>2030</v>
      </c>
      <c r="J1" s="27">
        <f t="shared" si="0"/>
        <v>2031</v>
      </c>
      <c r="K1" s="27">
        <f t="shared" si="0"/>
        <v>2032</v>
      </c>
      <c r="L1" s="27">
        <f t="shared" si="0"/>
        <v>2033</v>
      </c>
      <c r="M1" s="27">
        <f t="shared" si="0"/>
        <v>2034</v>
      </c>
      <c r="N1" s="27">
        <f t="shared" si="0"/>
        <v>2035</v>
      </c>
      <c r="O1" s="27">
        <f t="shared" si="0"/>
        <v>2036</v>
      </c>
      <c r="P1" s="27">
        <f t="shared" si="0"/>
        <v>2037</v>
      </c>
    </row>
    <row r="2" spans="1:18" ht="13.75" customHeight="1" x14ac:dyDescent="0.35">
      <c r="A2" s="17" t="s">
        <v>0</v>
      </c>
      <c r="B2" s="30">
        <v>9.1999999999999998E-2</v>
      </c>
      <c r="C2" s="30">
        <v>3.5000000000000003E-2</v>
      </c>
      <c r="D2" s="19">
        <v>5.1999999999999998E-2</v>
      </c>
      <c r="E2" s="19">
        <v>3.3000000000000002E-2</v>
      </c>
      <c r="F2" s="19">
        <v>2.4E-2</v>
      </c>
      <c r="G2" s="19">
        <v>2.1999999999999999E-2</v>
      </c>
      <c r="H2" s="19">
        <v>0.02</v>
      </c>
      <c r="I2" s="19">
        <v>0.02</v>
      </c>
      <c r="J2" s="19">
        <v>0.02</v>
      </c>
      <c r="K2" s="19">
        <v>0.02</v>
      </c>
      <c r="L2" s="19">
        <v>0.02</v>
      </c>
      <c r="M2" s="19">
        <v>0.02</v>
      </c>
      <c r="N2" s="19">
        <v>0.02</v>
      </c>
      <c r="O2" s="19">
        <v>0.02</v>
      </c>
      <c r="P2" s="19">
        <v>0.02</v>
      </c>
    </row>
    <row r="3" spans="1:18" ht="13.25" hidden="1" customHeight="1" x14ac:dyDescent="0.35">
      <c r="A3" s="17" t="s">
        <v>2</v>
      </c>
      <c r="B3" s="18">
        <f t="shared" ref="B3:P3" si="1">B2</f>
        <v>9.1999999999999998E-2</v>
      </c>
      <c r="C3" s="18">
        <f t="shared" si="1"/>
        <v>3.5000000000000003E-2</v>
      </c>
      <c r="D3" s="18">
        <f t="shared" si="1"/>
        <v>5.1999999999999998E-2</v>
      </c>
      <c r="E3" s="18">
        <f t="shared" si="1"/>
        <v>3.3000000000000002E-2</v>
      </c>
      <c r="F3" s="18">
        <f t="shared" si="1"/>
        <v>2.4E-2</v>
      </c>
      <c r="G3" s="18">
        <f t="shared" si="1"/>
        <v>2.1999999999999999E-2</v>
      </c>
      <c r="H3" s="18">
        <f t="shared" si="1"/>
        <v>0.02</v>
      </c>
      <c r="I3" s="18">
        <f t="shared" si="1"/>
        <v>0.02</v>
      </c>
      <c r="J3" s="18">
        <f t="shared" si="1"/>
        <v>0.02</v>
      </c>
      <c r="K3" s="18">
        <f t="shared" si="1"/>
        <v>0.02</v>
      </c>
      <c r="L3" s="18">
        <f t="shared" si="1"/>
        <v>0.02</v>
      </c>
      <c r="M3" s="18">
        <f t="shared" si="1"/>
        <v>0.02</v>
      </c>
      <c r="N3" s="18">
        <f t="shared" si="1"/>
        <v>0.02</v>
      </c>
      <c r="O3" s="18">
        <f t="shared" si="1"/>
        <v>0.02</v>
      </c>
      <c r="P3" s="18">
        <f t="shared" si="1"/>
        <v>0.02</v>
      </c>
    </row>
    <row r="4" spans="1:18" ht="6.65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8" ht="3.65" customHeight="1" x14ac:dyDescent="0.3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6"/>
      <c r="N5" s="6"/>
      <c r="O5" s="6"/>
    </row>
    <row r="6" spans="1:18" x14ac:dyDescent="0.35">
      <c r="A6" s="26" t="s">
        <v>13</v>
      </c>
      <c r="B6" s="24">
        <f>B16/B11</f>
        <v>0.18119259584989253</v>
      </c>
      <c r="C6" s="24">
        <f>C16/C11</f>
        <v>0.16693715849287818</v>
      </c>
      <c r="D6" s="24">
        <f>C6</f>
        <v>0.16693715849287818</v>
      </c>
      <c r="E6" s="24">
        <f t="shared" ref="E6:P6" si="2">D6*(1+E2)</f>
        <v>0.17244608472314316</v>
      </c>
      <c r="F6" s="24">
        <f t="shared" si="2"/>
        <v>0.17658479075649861</v>
      </c>
      <c r="G6" s="24">
        <f t="shared" si="2"/>
        <v>0.18046965615314159</v>
      </c>
      <c r="H6" s="24">
        <f t="shared" si="2"/>
        <v>0.18407904927620442</v>
      </c>
      <c r="I6" s="24">
        <f t="shared" si="2"/>
        <v>0.18776063026172851</v>
      </c>
      <c r="J6" s="24">
        <f t="shared" si="2"/>
        <v>0.19151584286696308</v>
      </c>
      <c r="K6" s="24">
        <f t="shared" si="2"/>
        <v>0.19534615972430233</v>
      </c>
      <c r="L6" s="24">
        <f t="shared" si="2"/>
        <v>0.19925308291878838</v>
      </c>
      <c r="M6" s="24">
        <f t="shared" si="2"/>
        <v>0.20323814457716416</v>
      </c>
      <c r="N6" s="24">
        <f t="shared" si="2"/>
        <v>0.20730290746870744</v>
      </c>
      <c r="O6" s="24">
        <f t="shared" si="2"/>
        <v>0.2114489656180816</v>
      </c>
      <c r="P6" s="24">
        <f t="shared" si="2"/>
        <v>0.21567794493044323</v>
      </c>
    </row>
    <row r="7" spans="1:18" x14ac:dyDescent="0.35">
      <c r="A7" s="26" t="s">
        <v>12</v>
      </c>
      <c r="B7" s="24">
        <f>B17/B12</f>
        <v>0.49150054299069834</v>
      </c>
      <c r="C7" s="24">
        <f>C17/C12</f>
        <v>0.46888543361081875</v>
      </c>
      <c r="D7" s="24">
        <f>C7</f>
        <v>0.46888543361081875</v>
      </c>
      <c r="E7" s="24">
        <f t="shared" ref="E7:P7" si="3">D7*(1+E2)</f>
        <v>0.48435865291997571</v>
      </c>
      <c r="F7" s="24">
        <f t="shared" si="3"/>
        <v>0.49598326059005515</v>
      </c>
      <c r="G7" s="24">
        <f t="shared" si="3"/>
        <v>0.50689489232303642</v>
      </c>
      <c r="H7" s="24">
        <f t="shared" si="3"/>
        <v>0.5170327901694971</v>
      </c>
      <c r="I7" s="24">
        <f t="shared" si="3"/>
        <v>0.52737344597288704</v>
      </c>
      <c r="J7" s="24">
        <f t="shared" si="3"/>
        <v>0.53792091489234484</v>
      </c>
      <c r="K7" s="24">
        <f t="shared" si="3"/>
        <v>0.5486793331901918</v>
      </c>
      <c r="L7" s="24">
        <f t="shared" si="3"/>
        <v>0.55965291985399568</v>
      </c>
      <c r="M7" s="24">
        <f t="shared" si="3"/>
        <v>0.57084597825107564</v>
      </c>
      <c r="N7" s="24">
        <f t="shared" si="3"/>
        <v>0.58226289781609719</v>
      </c>
      <c r="O7" s="24">
        <f t="shared" si="3"/>
        <v>0.59390815577241918</v>
      </c>
      <c r="P7" s="24">
        <f t="shared" si="3"/>
        <v>0.6057863188878676</v>
      </c>
    </row>
    <row r="8" spans="1:18" x14ac:dyDescent="0.35">
      <c r="A8" s="1" t="s">
        <v>1</v>
      </c>
      <c r="B8" s="24">
        <f>B18/B11</f>
        <v>8.7377102226057227E-2</v>
      </c>
      <c r="C8" s="24">
        <f>C18/C11</f>
        <v>8.4730697241084091E-2</v>
      </c>
      <c r="D8" s="24">
        <f t="shared" ref="D8" si="4">C8*(1+D2)</f>
        <v>8.9136693497620462E-2</v>
      </c>
      <c r="E8" s="42">
        <f t="shared" ref="E8" si="5">D8*(1+E2)</f>
        <v>9.2078204383041928E-2</v>
      </c>
      <c r="F8" s="42">
        <f t="shared" ref="F8" si="6">E8*(1+F2)</f>
        <v>9.4288081288234932E-2</v>
      </c>
      <c r="G8" s="42">
        <f t="shared" ref="G8" si="7">F8*(1+G2)</f>
        <v>9.6362419076576097E-2</v>
      </c>
      <c r="H8" s="42">
        <f t="shared" ref="H8" si="8">G8*(1+H2)</f>
        <v>9.8289667458107619E-2</v>
      </c>
      <c r="I8" s="42">
        <f t="shared" ref="I8:P8" si="9">H8*(1+I2)</f>
        <v>0.10025546080726977</v>
      </c>
      <c r="J8" s="42">
        <f t="shared" si="9"/>
        <v>0.10226057002341517</v>
      </c>
      <c r="K8" s="42">
        <f t="shared" si="9"/>
        <v>0.10430578142388347</v>
      </c>
      <c r="L8" s="42">
        <f t="shared" si="9"/>
        <v>0.10639189705236114</v>
      </c>
      <c r="M8" s="42">
        <f t="shared" si="9"/>
        <v>0.10851973499340836</v>
      </c>
      <c r="N8" s="42">
        <f t="shared" si="9"/>
        <v>0.11069012969327653</v>
      </c>
      <c r="O8" s="42">
        <f t="shared" si="9"/>
        <v>0.11290393228714206</v>
      </c>
      <c r="P8" s="42">
        <f t="shared" si="9"/>
        <v>0.1151620109328849</v>
      </c>
    </row>
    <row r="9" spans="1:18" x14ac:dyDescent="0.35">
      <c r="A9" s="1" t="s">
        <v>7</v>
      </c>
      <c r="B9" s="24">
        <f>B19/B12</f>
        <v>0.11506618190975337</v>
      </c>
      <c r="C9" s="24">
        <f>C19/C12</f>
        <v>4.9307243325997514E-2</v>
      </c>
      <c r="D9" s="24">
        <f>(B9+C9)/2*1.106</f>
        <v>9.0898504155370249E-2</v>
      </c>
      <c r="E9" s="42">
        <f t="shared" ref="E9" si="10">D9*1.106</f>
        <v>0.10053374559583951</v>
      </c>
      <c r="F9" s="42">
        <f>E9*1.106</f>
        <v>0.11119032262899851</v>
      </c>
      <c r="G9" s="42">
        <f t="shared" ref="G9:P9" si="11">F9*(1+G2)</f>
        <v>0.11363650972683649</v>
      </c>
      <c r="H9" s="42">
        <f t="shared" si="11"/>
        <v>0.11590923992137322</v>
      </c>
      <c r="I9" s="42">
        <f t="shared" si="11"/>
        <v>0.11822742471980069</v>
      </c>
      <c r="J9" s="42">
        <f t="shared" si="11"/>
        <v>0.12059197321419671</v>
      </c>
      <c r="K9" s="42">
        <f t="shared" si="11"/>
        <v>0.12300381267848064</v>
      </c>
      <c r="L9" s="42">
        <f t="shared" si="11"/>
        <v>0.12546388893205024</v>
      </c>
      <c r="M9" s="42">
        <f t="shared" si="11"/>
        <v>0.12797316671069126</v>
      </c>
      <c r="N9" s="42">
        <f t="shared" si="11"/>
        <v>0.13053263004490509</v>
      </c>
      <c r="O9" s="42">
        <f t="shared" si="11"/>
        <v>0.13314328264580319</v>
      </c>
      <c r="P9" s="42">
        <f t="shared" si="11"/>
        <v>0.13580614829871926</v>
      </c>
    </row>
    <row r="10" spans="1:18" x14ac:dyDescent="0.35">
      <c r="A10" s="36" t="s">
        <v>3</v>
      </c>
      <c r="B10" s="21"/>
      <c r="C10" s="11"/>
      <c r="D10" s="11"/>
      <c r="E10" s="3"/>
      <c r="F10" s="3"/>
      <c r="G10" s="3"/>
      <c r="H10" s="3"/>
      <c r="I10" s="3"/>
      <c r="J10" s="3"/>
      <c r="K10" s="3"/>
      <c r="L10" s="3"/>
      <c r="M10" s="6"/>
      <c r="N10" s="6"/>
      <c r="O10" s="6"/>
      <c r="P10" s="6"/>
      <c r="R10" s="20"/>
    </row>
    <row r="11" spans="1:18" x14ac:dyDescent="0.35">
      <c r="A11" s="26" t="s">
        <v>40</v>
      </c>
      <c r="B11" s="32">
        <v>120527</v>
      </c>
      <c r="C11" s="32">
        <v>119141</v>
      </c>
      <c r="D11" s="7">
        <v>118564.35463878662</v>
      </c>
      <c r="E11" s="7">
        <v>117955.51080562732</v>
      </c>
      <c r="F11" s="7">
        <v>115941.82259561015</v>
      </c>
      <c r="G11" s="7">
        <v>115328.65343664998</v>
      </c>
      <c r="H11" s="7">
        <v>114706.80735562906</v>
      </c>
      <c r="I11" s="7">
        <v>113416.0450434082</v>
      </c>
      <c r="J11" s="7">
        <v>112803.62679275768</v>
      </c>
      <c r="K11" s="7">
        <v>112500.8289333702</v>
      </c>
      <c r="L11" s="7">
        <v>111894.70432472009</v>
      </c>
      <c r="M11" s="7">
        <v>111288.57971606999</v>
      </c>
      <c r="N11" s="7">
        <v>110688.22772274035</v>
      </c>
      <c r="O11" s="7">
        <v>109452.15146763195</v>
      </c>
      <c r="P11" s="7">
        <v>109918.4932640546</v>
      </c>
      <c r="Q11" s="20"/>
      <c r="R11" s="20"/>
    </row>
    <row r="12" spans="1:18" x14ac:dyDescent="0.35">
      <c r="A12" s="26" t="s">
        <v>26</v>
      </c>
      <c r="B12" s="32">
        <v>63537</v>
      </c>
      <c r="C12" s="32">
        <v>62706</v>
      </c>
      <c r="D12" s="7">
        <v>62365.914733232858</v>
      </c>
      <c r="E12" s="7">
        <v>125762.1658453969</v>
      </c>
      <c r="F12" s="7">
        <v>253062.13061826461</v>
      </c>
      <c r="G12" s="7">
        <v>252504.91542206626</v>
      </c>
      <c r="H12" s="7">
        <v>252600.81397989072</v>
      </c>
      <c r="I12" s="7">
        <v>252036.12234152184</v>
      </c>
      <c r="J12" s="7">
        <v>251471.43070315296</v>
      </c>
      <c r="K12" s="7">
        <v>251204.39461346093</v>
      </c>
      <c r="L12" s="7">
        <v>250645.4161974038</v>
      </c>
      <c r="M12" s="7">
        <v>250086.43778134673</v>
      </c>
      <c r="N12" s="7">
        <v>249532.78296925209</v>
      </c>
      <c r="O12" s="7">
        <v>248989.77536508237</v>
      </c>
      <c r="P12" s="7">
        <v>249463.14589079714</v>
      </c>
    </row>
    <row r="13" spans="1:18" x14ac:dyDescent="0.35">
      <c r="A13" s="36" t="s">
        <v>60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8" x14ac:dyDescent="0.35">
      <c r="A14" s="26" t="s">
        <v>61</v>
      </c>
      <c r="B14" s="43">
        <v>40438</v>
      </c>
      <c r="C14" s="43">
        <v>44856</v>
      </c>
      <c r="D14" s="7">
        <v>44678.295674073379</v>
      </c>
      <c r="E14" s="7">
        <v>29775.079105152287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</row>
    <row r="15" spans="1:18" x14ac:dyDescent="0.35">
      <c r="A15" s="2" t="s">
        <v>4</v>
      </c>
      <c r="B15" s="31"/>
      <c r="C15" s="11"/>
      <c r="D15" s="11"/>
      <c r="E15" s="3"/>
      <c r="F15" s="3"/>
      <c r="G15" s="3"/>
      <c r="H15" s="3"/>
      <c r="I15" s="3"/>
      <c r="J15" s="3"/>
      <c r="K15" s="3"/>
      <c r="L15" s="3"/>
      <c r="M15" s="6"/>
      <c r="N15" s="6"/>
      <c r="O15" s="6"/>
      <c r="P15" s="6"/>
    </row>
    <row r="16" spans="1:18" x14ac:dyDescent="0.35">
      <c r="A16" s="26" t="s">
        <v>13</v>
      </c>
      <c r="B16" s="32">
        <f>21838.6</f>
        <v>21838.6</v>
      </c>
      <c r="C16" s="32">
        <f>18800.7+1088.36</f>
        <v>19889.060000000001</v>
      </c>
      <c r="D16" s="7">
        <f t="shared" ref="D16" si="12">D6*D11</f>
        <v>19792.796461940939</v>
      </c>
      <c r="E16" s="7">
        <f t="shared" ref="E16:N16" si="13">E6*E11</f>
        <v>20340.966009948836</v>
      </c>
      <c r="F16" s="7">
        <f t="shared" si="13"/>
        <v>20473.562482972902</v>
      </c>
      <c r="G16" s="7">
        <f t="shared" si="13"/>
        <v>20813.322430317054</v>
      </c>
      <c r="H16" s="7">
        <f t="shared" si="13"/>
        <v>21115.12004353293</v>
      </c>
      <c r="I16" s="7">
        <f t="shared" si="13"/>
        <v>21295.068099142914</v>
      </c>
      <c r="J16" s="7">
        <f t="shared" si="13"/>
        <v>21603.681663665328</v>
      </c>
      <c r="K16" s="7">
        <f t="shared" si="13"/>
        <v>21976.604897934547</v>
      </c>
      <c r="L16" s="7">
        <f t="shared" si="13"/>
        <v>22295.36479898676</v>
      </c>
      <c r="M16" s="7">
        <f t="shared" si="13"/>
        <v>22618.08445412189</v>
      </c>
      <c r="N16" s="7">
        <f t="shared" si="13"/>
        <v>22945.991429482463</v>
      </c>
      <c r="O16" s="7">
        <f t="shared" ref="O16" si="14">O6*O11</f>
        <v>23143.544212504366</v>
      </c>
      <c r="P16" s="7">
        <f t="shared" ref="P16" si="15">P6*P11</f>
        <v>23706.994737042063</v>
      </c>
    </row>
    <row r="17" spans="1:18" x14ac:dyDescent="0.35">
      <c r="A17" s="26" t="s">
        <v>12</v>
      </c>
      <c r="B17" s="32">
        <v>31228.47</v>
      </c>
      <c r="C17" s="32">
        <f>1368.03+28033.9</f>
        <v>29401.93</v>
      </c>
      <c r="D17" s="7">
        <f t="shared" ref="D17" si="16">D7*D12</f>
        <v>29242.468972227238</v>
      </c>
      <c r="E17" s="7">
        <f t="shared" ref="E17:N17" si="17">E7*E12</f>
        <v>60913.993237175018</v>
      </c>
      <c r="F17" s="7">
        <f t="shared" si="17"/>
        <v>125514.58067591331</v>
      </c>
      <c r="G17" s="7">
        <f t="shared" si="17"/>
        <v>127993.45191390569</v>
      </c>
      <c r="H17" s="7">
        <f t="shared" si="17"/>
        <v>130602.90365110901</v>
      </c>
      <c r="I17" s="7">
        <f t="shared" si="17"/>
        <v>132917.15834889252</v>
      </c>
      <c r="J17" s="7">
        <f t="shared" si="17"/>
        <v>135271.74207312692</v>
      </c>
      <c r="K17" s="7">
        <f t="shared" si="17"/>
        <v>137830.65973095954</v>
      </c>
      <c r="L17" s="7">
        <f t="shared" si="17"/>
        <v>140274.43902289702</v>
      </c>
      <c r="M17" s="7">
        <f t="shared" si="17"/>
        <v>142760.83722261962</v>
      </c>
      <c r="N17" s="7">
        <f t="shared" si="17"/>
        <v>145293.681311792</v>
      </c>
      <c r="O17" s="7">
        <f t="shared" ref="O17" si="18">O7*O12</f>
        <v>147877.058293265</v>
      </c>
      <c r="P17" s="7">
        <f t="shared" ref="P17" si="19">P7*P12</f>
        <v>151121.36084737309</v>
      </c>
      <c r="R17" s="13"/>
    </row>
    <row r="18" spans="1:18" x14ac:dyDescent="0.35">
      <c r="A18" s="1" t="s">
        <v>1</v>
      </c>
      <c r="B18" s="32">
        <v>10531.3</v>
      </c>
      <c r="C18" s="32">
        <v>10094.9</v>
      </c>
      <c r="D18" s="7">
        <f t="shared" ref="D18:N18" si="20">D11*D8</f>
        <v>10568.434539180698</v>
      </c>
      <c r="E18" s="45">
        <f t="shared" si="20"/>
        <v>10861.131632066663</v>
      </c>
      <c r="F18" s="45">
        <f t="shared" si="20"/>
        <v>10931.931993601003</v>
      </c>
      <c r="G18" s="45">
        <f t="shared" si="20"/>
        <v>11113.348033999673</v>
      </c>
      <c r="H18" s="45">
        <f t="shared" si="20"/>
        <v>11274.493950165994</v>
      </c>
      <c r="I18" s="45">
        <f t="shared" si="20"/>
        <v>11370.577858764953</v>
      </c>
      <c r="J18" s="45">
        <f t="shared" si="20"/>
        <v>11535.363176535988</v>
      </c>
      <c r="K18" s="45">
        <f t="shared" si="20"/>
        <v>11734.486872729818</v>
      </c>
      <c r="L18" s="45">
        <f t="shared" si="20"/>
        <v>11904.68986322001</v>
      </c>
      <c r="M18" s="45">
        <f t="shared" si="20"/>
        <v>12077.007178580716</v>
      </c>
      <c r="N18" s="45">
        <f t="shared" si="20"/>
        <v>12252.094282149057</v>
      </c>
      <c r="O18" s="45">
        <f t="shared" ref="O18" si="21">O11*O8</f>
        <v>12357.578297983533</v>
      </c>
      <c r="P18" s="45">
        <f t="shared" ref="P18" si="22">P11*P8</f>
        <v>12658.434723001292</v>
      </c>
    </row>
    <row r="19" spans="1:18" x14ac:dyDescent="0.35">
      <c r="A19" s="1" t="s">
        <v>7</v>
      </c>
      <c r="B19" s="32">
        <v>7310.96</v>
      </c>
      <c r="C19" s="32">
        <v>3091.86</v>
      </c>
      <c r="D19" s="7">
        <f t="shared" ref="D19:N19" si="23">D9*D12</f>
        <v>5668.968359532234</v>
      </c>
      <c r="E19" s="45">
        <f t="shared" si="23"/>
        <v>12643.341586682909</v>
      </c>
      <c r="F19" s="45">
        <f t="shared" si="23"/>
        <v>28138.059948626604</v>
      </c>
      <c r="G19" s="45">
        <f t="shared" si="23"/>
        <v>28693.777277433659</v>
      </c>
      <c r="H19" s="45">
        <f t="shared" si="23"/>
        <v>29278.76835192932</v>
      </c>
      <c r="I19" s="45">
        <f t="shared" si="23"/>
        <v>29797.581680802748</v>
      </c>
      <c r="J19" s="45">
        <f t="shared" si="23"/>
        <v>30325.436035490344</v>
      </c>
      <c r="K19" s="45">
        <f t="shared" si="23"/>
        <v>30899.098299045279</v>
      </c>
      <c r="L19" s="45">
        <f t="shared" si="23"/>
        <v>31446.948659118578</v>
      </c>
      <c r="M19" s="45">
        <f t="shared" si="23"/>
        <v>32004.3533942752</v>
      </c>
      <c r="N19" s="45">
        <f t="shared" si="23"/>
        <v>32572.170443400977</v>
      </c>
      <c r="O19" s="45">
        <f t="shared" ref="O19" si="24">O9*O12</f>
        <v>33151.31603734821</v>
      </c>
      <c r="P19" s="45">
        <f t="shared" ref="P19" si="25">P9*P12</f>
        <v>33878.628985910633</v>
      </c>
    </row>
    <row r="20" spans="1:18" x14ac:dyDescent="0.35">
      <c r="A20" s="2" t="s">
        <v>5</v>
      </c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6"/>
      <c r="P20" s="6"/>
    </row>
    <row r="21" spans="1:18" x14ac:dyDescent="0.35">
      <c r="A21" s="1" t="s">
        <v>6</v>
      </c>
      <c r="B21" s="32">
        <f>31524.23+43019.2</f>
        <v>74543.429999999993</v>
      </c>
      <c r="C21" s="32">
        <f>33292.42+41484.49</f>
        <v>74776.91</v>
      </c>
      <c r="D21" s="45">
        <f t="shared" ref="D21:P21" si="26">C21*(1+D3)</f>
        <v>78665.30932</v>
      </c>
      <c r="E21" s="45">
        <f>D21*(1+E3)</f>
        <v>81261.264527559993</v>
      </c>
      <c r="F21" s="45">
        <f>E21*(1+F3)</f>
        <v>83211.534876221442</v>
      </c>
      <c r="G21" s="45">
        <f t="shared" si="26"/>
        <v>85042.188643498317</v>
      </c>
      <c r="H21" s="45">
        <f t="shared" si="26"/>
        <v>86743.032416368282</v>
      </c>
      <c r="I21" s="45">
        <f t="shared" si="26"/>
        <v>88477.893064695643</v>
      </c>
      <c r="J21" s="45">
        <f t="shared" si="26"/>
        <v>90247.450925989557</v>
      </c>
      <c r="K21" s="45">
        <f t="shared" si="26"/>
        <v>92052.39994450935</v>
      </c>
      <c r="L21" s="45">
        <f t="shared" si="26"/>
        <v>93893.447943399544</v>
      </c>
      <c r="M21" s="45">
        <f t="shared" si="26"/>
        <v>95771.316902267543</v>
      </c>
      <c r="N21" s="45">
        <f>M21*(1+N3)</f>
        <v>97686.743240312891</v>
      </c>
      <c r="O21" s="45">
        <f>N21*(1+O3)</f>
        <v>99640.478105119153</v>
      </c>
      <c r="P21" s="45">
        <f t="shared" si="26"/>
        <v>101633.28766722154</v>
      </c>
    </row>
    <row r="22" spans="1:18" x14ac:dyDescent="0.35">
      <c r="A22" s="1" t="s">
        <v>29</v>
      </c>
      <c r="B22" s="32">
        <v>26926.080000000002</v>
      </c>
      <c r="C22" s="32">
        <v>47356.37</v>
      </c>
      <c r="D22" s="45">
        <f>(B22+C22)/2*(1+D2)</f>
        <v>39072.568700000011</v>
      </c>
      <c r="E22" s="45">
        <f t="shared" ref="E22:N22" si="27">D22*(1+E2)</f>
        <v>40361.963467100009</v>
      </c>
      <c r="F22" s="45">
        <f t="shared" si="27"/>
        <v>41330.650590310412</v>
      </c>
      <c r="G22" s="45">
        <f t="shared" si="27"/>
        <v>42239.924903297244</v>
      </c>
      <c r="H22" s="45">
        <f t="shared" si="27"/>
        <v>43084.72340136319</v>
      </c>
      <c r="I22" s="45">
        <f t="shared" si="27"/>
        <v>43946.417869390454</v>
      </c>
      <c r="J22" s="45">
        <f t="shared" si="27"/>
        <v>44825.346226778267</v>
      </c>
      <c r="K22" s="45">
        <f t="shared" si="27"/>
        <v>45721.85315131383</v>
      </c>
      <c r="L22" s="45">
        <f t="shared" si="27"/>
        <v>46636.290214340108</v>
      </c>
      <c r="M22" s="45">
        <f t="shared" si="27"/>
        <v>47569.016018626913</v>
      </c>
      <c r="N22" s="45">
        <f t="shared" si="27"/>
        <v>48520.396338999453</v>
      </c>
      <c r="O22" s="45">
        <f>N22*(1+O2)</f>
        <v>49490.804265779443</v>
      </c>
      <c r="P22" s="45">
        <f>O22*(1+P2)</f>
        <v>50480.620351095036</v>
      </c>
    </row>
    <row r="23" spans="1:18" x14ac:dyDescent="0.35">
      <c r="A23" s="1" t="s">
        <v>30</v>
      </c>
      <c r="B23" s="32">
        <v>27141.409999999985</v>
      </c>
      <c r="C23" s="32">
        <v>45626.130000000019</v>
      </c>
      <c r="D23" s="45">
        <f>C23*(1+D2)</f>
        <v>47998.688760000019</v>
      </c>
      <c r="E23" s="7">
        <f>D23*(1+E2)*1.45</f>
        <v>71894.835959166026</v>
      </c>
      <c r="F23" s="7">
        <f>E23*(1+F2)*1.65</f>
        <v>121473.51483660692</v>
      </c>
      <c r="G23" s="45">
        <f>F23*(1+G2)</f>
        <v>124145.93216301227</v>
      </c>
      <c r="H23" s="45">
        <f>G23*(1+H3)</f>
        <v>126628.85080627252</v>
      </c>
      <c r="I23" s="45">
        <f t="shared" ref="I23:P23" si="28">H23*(1+I2)</f>
        <v>129161.42782239796</v>
      </c>
      <c r="J23" s="45">
        <f t="shared" si="28"/>
        <v>131744.65637884592</v>
      </c>
      <c r="K23" s="45">
        <f t="shared" si="28"/>
        <v>134379.54950642283</v>
      </c>
      <c r="L23" s="45">
        <f t="shared" si="28"/>
        <v>137067.14049655129</v>
      </c>
      <c r="M23" s="45">
        <f t="shared" si="28"/>
        <v>139808.48330648232</v>
      </c>
      <c r="N23" s="45">
        <f>M23*(1+N2)</f>
        <v>142604.65297261198</v>
      </c>
      <c r="O23" s="45">
        <f>N23*(1+O2)</f>
        <v>145456.74603206423</v>
      </c>
      <c r="P23" s="45">
        <f t="shared" si="28"/>
        <v>148365.88095270551</v>
      </c>
    </row>
    <row r="24" spans="1:18" x14ac:dyDescent="0.35">
      <c r="A24" s="1" t="s">
        <v>57</v>
      </c>
      <c r="B24" s="32">
        <f>1410.15+258.9+100+1527.49+323.64</f>
        <v>3620.18</v>
      </c>
      <c r="C24" s="32">
        <f>950.93+205+3687.18+1655.47+1108.73</f>
        <v>7607.3099999999995</v>
      </c>
      <c r="D24" s="45">
        <f>(B24+C24)/2*(1+D2)</f>
        <v>5905.6597400000001</v>
      </c>
      <c r="E24" s="45">
        <f t="shared" ref="E24:P24" si="29">D24*(1+E2)</f>
        <v>6100.5465114199997</v>
      </c>
      <c r="F24" s="45">
        <f t="shared" si="29"/>
        <v>6246.9596276940802</v>
      </c>
      <c r="G24" s="45">
        <f t="shared" si="29"/>
        <v>6384.3927395033497</v>
      </c>
      <c r="H24" s="45">
        <f t="shared" si="29"/>
        <v>6512.0805942934167</v>
      </c>
      <c r="I24" s="45">
        <f t="shared" si="29"/>
        <v>6642.3222061792849</v>
      </c>
      <c r="J24" s="45">
        <f t="shared" si="29"/>
        <v>6775.1686503028704</v>
      </c>
      <c r="K24" s="45">
        <f t="shared" si="29"/>
        <v>6910.6720233089281</v>
      </c>
      <c r="L24" s="45">
        <f t="shared" si="29"/>
        <v>7048.8854637751065</v>
      </c>
      <c r="M24" s="45">
        <f t="shared" si="29"/>
        <v>7189.8631730506086</v>
      </c>
      <c r="N24" s="45">
        <f t="shared" si="29"/>
        <v>7333.6604365116209</v>
      </c>
      <c r="O24" s="45">
        <f t="shared" si="29"/>
        <v>7480.3336452418534</v>
      </c>
      <c r="P24" s="45">
        <f t="shared" si="29"/>
        <v>7629.9403181466905</v>
      </c>
    </row>
    <row r="25" spans="1:18" x14ac:dyDescent="0.35">
      <c r="A25" s="1" t="s">
        <v>28</v>
      </c>
      <c r="B25" s="32">
        <f>5214.74+6192.64</f>
        <v>11407.380000000001</v>
      </c>
      <c r="C25" s="32">
        <f>5636.73+5044.45</f>
        <v>10681.18</v>
      </c>
      <c r="D25" s="45">
        <f>(B25+C25)/2*(1+D2)</f>
        <v>11618.582560000001</v>
      </c>
      <c r="E25" s="45">
        <f t="shared" ref="E25:P25" si="30">D25*(1+E2)</f>
        <v>12001.995784479999</v>
      </c>
      <c r="F25" s="45">
        <f t="shared" si="30"/>
        <v>12290.04368330752</v>
      </c>
      <c r="G25" s="45">
        <f t="shared" si="30"/>
        <v>12560.424644340286</v>
      </c>
      <c r="H25" s="45">
        <f t="shared" si="30"/>
        <v>12811.633137227092</v>
      </c>
      <c r="I25" s="45">
        <f t="shared" si="30"/>
        <v>13067.865799971634</v>
      </c>
      <c r="J25" s="45">
        <f t="shared" si="30"/>
        <v>13329.223115971066</v>
      </c>
      <c r="K25" s="45">
        <f t="shared" si="30"/>
        <v>13595.807578290487</v>
      </c>
      <c r="L25" s="45">
        <f t="shared" si="30"/>
        <v>13867.723729856298</v>
      </c>
      <c r="M25" s="45">
        <f t="shared" si="30"/>
        <v>14145.078204453424</v>
      </c>
      <c r="N25" s="45">
        <f t="shared" si="30"/>
        <v>14427.979768542493</v>
      </c>
      <c r="O25" s="45">
        <f t="shared" si="30"/>
        <v>14716.539363913344</v>
      </c>
      <c r="P25" s="45">
        <f t="shared" si="30"/>
        <v>15010.870151191612</v>
      </c>
    </row>
    <row r="26" spans="1:18" x14ac:dyDescent="0.35">
      <c r="A26" s="1" t="s">
        <v>59</v>
      </c>
      <c r="B26" s="32">
        <v>27497.84</v>
      </c>
      <c r="C26" s="32">
        <v>30502.080000000002</v>
      </c>
      <c r="D26" s="45">
        <f>0.68*D14</f>
        <v>30381.241058369898</v>
      </c>
      <c r="E26" s="45">
        <f t="shared" ref="E26:P26" si="31">0.68*E14</f>
        <v>20247.053791503557</v>
      </c>
      <c r="F26" s="45">
        <f t="shared" si="31"/>
        <v>0</v>
      </c>
      <c r="G26" s="45">
        <f t="shared" si="31"/>
        <v>0</v>
      </c>
      <c r="H26" s="45">
        <f t="shared" si="31"/>
        <v>0</v>
      </c>
      <c r="I26" s="45">
        <f t="shared" si="31"/>
        <v>0</v>
      </c>
      <c r="J26" s="45">
        <f t="shared" si="31"/>
        <v>0</v>
      </c>
      <c r="K26" s="45">
        <f t="shared" si="31"/>
        <v>0</v>
      </c>
      <c r="L26" s="45">
        <f t="shared" si="31"/>
        <v>0</v>
      </c>
      <c r="M26" s="45">
        <f t="shared" si="31"/>
        <v>0</v>
      </c>
      <c r="N26" s="45">
        <f t="shared" si="31"/>
        <v>0</v>
      </c>
      <c r="O26" s="45">
        <f t="shared" si="31"/>
        <v>0</v>
      </c>
      <c r="P26" s="45">
        <f t="shared" si="31"/>
        <v>0</v>
      </c>
    </row>
    <row r="27" spans="1:18" x14ac:dyDescent="0.35">
      <c r="A27" s="26" t="s">
        <v>14</v>
      </c>
      <c r="B27" s="32">
        <f>39.78+99.92+192+2767.39+21.38+1379.68+986.31</f>
        <v>5486.4599999999991</v>
      </c>
      <c r="C27" s="32">
        <f>126.15+26.28+1379.68+2689.28</f>
        <v>4221.3900000000003</v>
      </c>
      <c r="D27" s="45">
        <f>(B27+C27)/2*(1+D2)</f>
        <v>5106.329099999999</v>
      </c>
      <c r="E27" s="7">
        <f t="shared" ref="E27:P27" si="32">D27*(1+E2)</f>
        <v>5274.8379602999985</v>
      </c>
      <c r="F27" s="7">
        <f t="shared" si="32"/>
        <v>5401.4340713471984</v>
      </c>
      <c r="G27" s="7">
        <f t="shared" si="32"/>
        <v>5520.2656209168372</v>
      </c>
      <c r="H27" s="7">
        <f t="shared" si="32"/>
        <v>5630.6709333351737</v>
      </c>
      <c r="I27" s="7">
        <f t="shared" si="32"/>
        <v>5743.2843520018769</v>
      </c>
      <c r="J27" s="7">
        <f t="shared" si="32"/>
        <v>5858.1500390419142</v>
      </c>
      <c r="K27" s="7">
        <f t="shared" si="32"/>
        <v>5975.3130398227522</v>
      </c>
      <c r="L27" s="7">
        <f t="shared" si="32"/>
        <v>6094.8193006192078</v>
      </c>
      <c r="M27" s="7">
        <f t="shared" si="32"/>
        <v>6216.7156866315918</v>
      </c>
      <c r="N27" s="7">
        <f t="shared" si="32"/>
        <v>6341.0500003642237</v>
      </c>
      <c r="O27" s="7">
        <f t="shared" si="32"/>
        <v>6467.8710003715087</v>
      </c>
      <c r="P27" s="7">
        <f t="shared" si="32"/>
        <v>6597.2284203789386</v>
      </c>
    </row>
    <row r="28" spans="1:18" ht="8.25" customHeight="1" x14ac:dyDescent="0.35">
      <c r="A28" s="5"/>
      <c r="B28" s="21"/>
      <c r="C28" s="3"/>
      <c r="D28" s="3"/>
      <c r="E28" s="3"/>
      <c r="F28" s="3"/>
      <c r="G28" s="3"/>
      <c r="H28" s="3"/>
      <c r="I28" s="3"/>
      <c r="J28" s="3"/>
      <c r="K28" s="3"/>
      <c r="L28" s="3"/>
      <c r="M28" s="6"/>
      <c r="N28" s="6"/>
      <c r="O28" s="6"/>
      <c r="P28" s="6"/>
    </row>
    <row r="29" spans="1:18" x14ac:dyDescent="0.35">
      <c r="A29" s="46" t="s">
        <v>41</v>
      </c>
      <c r="B29" s="32">
        <f t="shared" ref="B29:P29" si="33">SUM(B16:B19)+SUM(B21:B27)</f>
        <v>247532.11</v>
      </c>
      <c r="C29" s="32">
        <f t="shared" si="33"/>
        <v>283249.12000000005</v>
      </c>
      <c r="D29" s="32">
        <f t="shared" si="33"/>
        <v>284021.04757125105</v>
      </c>
      <c r="E29" s="32">
        <f t="shared" si="33"/>
        <v>341901.93046740303</v>
      </c>
      <c r="F29" s="32">
        <f t="shared" si="33"/>
        <v>455012.27278660133</v>
      </c>
      <c r="G29" s="32">
        <f t="shared" si="33"/>
        <v>464507.02837022441</v>
      </c>
      <c r="H29" s="32">
        <f t="shared" si="33"/>
        <v>473682.27728559688</v>
      </c>
      <c r="I29" s="32">
        <f t="shared" si="33"/>
        <v>482419.59710223996</v>
      </c>
      <c r="J29" s="32">
        <f t="shared" si="33"/>
        <v>491516.21828574821</v>
      </c>
      <c r="K29" s="32">
        <f t="shared" si="33"/>
        <v>501076.44504433731</v>
      </c>
      <c r="L29" s="32">
        <f t="shared" si="33"/>
        <v>510529.74949276389</v>
      </c>
      <c r="M29" s="32">
        <f t="shared" si="33"/>
        <v>520160.75554110983</v>
      </c>
      <c r="N29" s="32">
        <f t="shared" si="33"/>
        <v>529978.42022416717</v>
      </c>
      <c r="O29" s="32">
        <f t="shared" si="33"/>
        <v>539782.26925359073</v>
      </c>
      <c r="P29" s="32">
        <f t="shared" si="33"/>
        <v>551083.24715406634</v>
      </c>
      <c r="R29" s="13"/>
    </row>
    <row r="30" spans="1:18" x14ac:dyDescent="0.35">
      <c r="A30" s="6"/>
      <c r="B30" s="3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8" x14ac:dyDescent="0.35">
      <c r="A31" s="46" t="s">
        <v>31</v>
      </c>
      <c r="B31" s="7">
        <v>71792.66</v>
      </c>
      <c r="C31" s="7">
        <v>71792.66</v>
      </c>
      <c r="D31" s="7">
        <v>71792.66</v>
      </c>
      <c r="E31" s="7">
        <v>71792.66</v>
      </c>
      <c r="F31" s="7">
        <v>75515.030048000001</v>
      </c>
      <c r="G31" s="7">
        <v>78742.73847628801</v>
      </c>
      <c r="H31" s="7">
        <v>92579.152485214203</v>
      </c>
      <c r="I31" s="7">
        <v>102211.03711294546</v>
      </c>
      <c r="J31" s="7">
        <v>113302.10483530938</v>
      </c>
      <c r="K31" s="7">
        <v>116727.37132977924</v>
      </c>
      <c r="L31" s="7">
        <v>123729.71538752895</v>
      </c>
      <c r="M31" s="7">
        <v>128924.18152491418</v>
      </c>
      <c r="N31" s="7">
        <v>128924.18152491418</v>
      </c>
      <c r="O31" s="7">
        <v>138820.35746327715</v>
      </c>
      <c r="P31" s="7">
        <v>149085.22101610244</v>
      </c>
    </row>
    <row r="32" spans="1:18" x14ac:dyDescent="0.35">
      <c r="A32" s="26" t="s">
        <v>33</v>
      </c>
      <c r="B32" s="7">
        <v>1453731.61</v>
      </c>
      <c r="C32" s="7">
        <v>1381938.9500000002</v>
      </c>
      <c r="D32" s="7">
        <v>1310146.2900000003</v>
      </c>
      <c r="E32" s="7">
        <v>1375205.4700000004</v>
      </c>
      <c r="F32" s="7">
        <v>1417603.5058720005</v>
      </c>
      <c r="G32" s="7">
        <v>1846293.446453626</v>
      </c>
      <c r="H32" s="7">
        <v>2104039.3199228887</v>
      </c>
      <c r="I32" s="7">
        <v>2404655.7206503777</v>
      </c>
      <c r="J32" s="7">
        <v>2411263.4175959732</v>
      </c>
      <c r="K32" s="7">
        <v>2546817.6274017943</v>
      </c>
      <c r="L32" s="7">
        <v>2609125.494551566</v>
      </c>
      <c r="M32" s="7">
        <v>2476075.2547067301</v>
      </c>
      <c r="N32" s="7">
        <v>2708858.135456752</v>
      </c>
      <c r="O32" s="7">
        <v>2945236.0877324222</v>
      </c>
      <c r="P32" s="7">
        <v>2794152.1715445719</v>
      </c>
    </row>
    <row r="33" spans="1:16" x14ac:dyDescent="0.35">
      <c r="A33" s="26" t="s">
        <v>42</v>
      </c>
      <c r="B33" s="7">
        <f>(262.51+270.74+268.02)*1000/3*0.05</f>
        <v>13354.5</v>
      </c>
      <c r="C33" s="7">
        <f>(270.74+268.02+B58/1000)*1000/3*0.05</f>
        <v>14750.495666666668</v>
      </c>
      <c r="D33" s="7">
        <f>(268.02+(B46+B48)/1000+(C46+C48)/1000)*1000/3*0.05</f>
        <v>18166.987119999998</v>
      </c>
      <c r="E33" s="7">
        <f>(B46+B48+C46+C48+D46+D48)/3*0.05</f>
        <v>21590.568090186865</v>
      </c>
      <c r="F33" s="7">
        <f t="shared" ref="F33:P33" si="34">(C46+C48+D46+D48+E46+E48)/3*0.05</f>
        <v>25968.7753023646</v>
      </c>
      <c r="G33" s="7">
        <f t="shared" si="34"/>
        <v>28365.842129338587</v>
      </c>
      <c r="H33" s="7">
        <f t="shared" si="34"/>
        <v>31461.870287735575</v>
      </c>
      <c r="I33" s="7">
        <f t="shared" si="34"/>
        <v>32952.420466580734</v>
      </c>
      <c r="J33" s="7">
        <f t="shared" si="34"/>
        <v>34887.247001267599</v>
      </c>
      <c r="K33" s="7">
        <f t="shared" si="34"/>
        <v>36504.738968604754</v>
      </c>
      <c r="L33" s="7">
        <f t="shared" si="34"/>
        <v>37827.223344119273</v>
      </c>
      <c r="M33" s="7">
        <f t="shared" si="34"/>
        <v>38868.387109034935</v>
      </c>
      <c r="N33" s="7">
        <f t="shared" si="34"/>
        <v>39673.988637857219</v>
      </c>
      <c r="O33" s="7">
        <f t="shared" si="34"/>
        <v>40528.563319367946</v>
      </c>
      <c r="P33" s="7">
        <f t="shared" si="34"/>
        <v>41619.40099236861</v>
      </c>
    </row>
    <row r="34" spans="1:16" x14ac:dyDescent="0.35">
      <c r="A34" s="46" t="s">
        <v>32</v>
      </c>
      <c r="B34" s="32">
        <f>0.0628*(B32+B33)</f>
        <v>92133.007708000005</v>
      </c>
      <c r="C34" s="32">
        <f>0.0628*(C32+C33)</f>
        <v>87712.097187866675</v>
      </c>
      <c r="D34" s="32">
        <f>0.0628*(D32+D33)</f>
        <v>83418.073803136009</v>
      </c>
      <c r="E34" s="32">
        <f t="shared" ref="E34:O34" si="35">0.0628*E32</f>
        <v>86362.90351600002</v>
      </c>
      <c r="F34" s="32">
        <f t="shared" si="35"/>
        <v>89025.500168761617</v>
      </c>
      <c r="G34" s="32">
        <f t="shared" si="35"/>
        <v>115947.2284372877</v>
      </c>
      <c r="H34" s="32">
        <f t="shared" si="35"/>
        <v>132133.66929115739</v>
      </c>
      <c r="I34" s="32">
        <f t="shared" si="35"/>
        <v>151012.37925684371</v>
      </c>
      <c r="J34" s="32">
        <f t="shared" si="35"/>
        <v>151427.34262502711</v>
      </c>
      <c r="K34" s="32">
        <f t="shared" si="35"/>
        <v>159940.14700083266</v>
      </c>
      <c r="L34" s="32">
        <f t="shared" si="35"/>
        <v>163853.08105783834</v>
      </c>
      <c r="M34" s="32">
        <f t="shared" si="35"/>
        <v>155497.52599558263</v>
      </c>
      <c r="N34" s="32">
        <f t="shared" si="35"/>
        <v>170116.29090668401</v>
      </c>
      <c r="O34" s="32">
        <f t="shared" si="35"/>
        <v>184960.8263095961</v>
      </c>
      <c r="P34" s="32">
        <f t="shared" ref="P34" si="36">0.0628*P32</f>
        <v>175472.75637299911</v>
      </c>
    </row>
    <row r="35" spans="1:16" x14ac:dyDescent="0.35">
      <c r="A35" s="11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</row>
    <row r="36" spans="1:16" x14ac:dyDescent="0.35">
      <c r="A36" s="46" t="s">
        <v>50</v>
      </c>
      <c r="B36" s="32">
        <f>B29+B31+B34</f>
        <v>411457.77770800004</v>
      </c>
      <c r="C36" s="32">
        <f>C29+C31+C34</f>
        <v>442753.87718786672</v>
      </c>
      <c r="D36" s="32">
        <f t="shared" ref="D36:O36" si="37">D29+D31+D34</f>
        <v>439231.78137438709</v>
      </c>
      <c r="E36" s="32">
        <f t="shared" si="37"/>
        <v>500057.49398340308</v>
      </c>
      <c r="F36" s="32">
        <f t="shared" si="37"/>
        <v>619552.80300336296</v>
      </c>
      <c r="G36" s="32">
        <f t="shared" si="37"/>
        <v>659196.99528380018</v>
      </c>
      <c r="H36" s="32">
        <f t="shared" si="37"/>
        <v>698395.0990619685</v>
      </c>
      <c r="I36" s="32">
        <f t="shared" si="37"/>
        <v>735643.01347202912</v>
      </c>
      <c r="J36" s="32">
        <f t="shared" si="37"/>
        <v>756245.66574608465</v>
      </c>
      <c r="K36" s="32">
        <f t="shared" si="37"/>
        <v>777743.96337494929</v>
      </c>
      <c r="L36" s="32">
        <f t="shared" si="37"/>
        <v>798112.54593813117</v>
      </c>
      <c r="M36" s="32">
        <f t="shared" si="37"/>
        <v>804582.46306160674</v>
      </c>
      <c r="N36" s="32">
        <f t="shared" si="37"/>
        <v>829018.8926557654</v>
      </c>
      <c r="O36" s="32">
        <f t="shared" si="37"/>
        <v>863563.45302646398</v>
      </c>
      <c r="P36" s="32">
        <f t="shared" ref="P36" si="38">P29+P31+P34</f>
        <v>875641.22454316798</v>
      </c>
    </row>
    <row r="37" spans="1:1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35">
      <c r="A38" s="9" t="s">
        <v>39</v>
      </c>
      <c r="B38" s="15">
        <v>2023</v>
      </c>
      <c r="C38" s="15">
        <f t="shared" ref="C38:P38" si="39">B38+1</f>
        <v>2024</v>
      </c>
      <c r="D38" s="15">
        <f t="shared" si="39"/>
        <v>2025</v>
      </c>
      <c r="E38" s="15">
        <f t="shared" si="39"/>
        <v>2026</v>
      </c>
      <c r="F38" s="15">
        <f t="shared" si="39"/>
        <v>2027</v>
      </c>
      <c r="G38" s="15">
        <f t="shared" si="39"/>
        <v>2028</v>
      </c>
      <c r="H38" s="15">
        <f t="shared" si="39"/>
        <v>2029</v>
      </c>
      <c r="I38" s="15">
        <f t="shared" si="39"/>
        <v>2030</v>
      </c>
      <c r="J38" s="15">
        <f t="shared" si="39"/>
        <v>2031</v>
      </c>
      <c r="K38" s="15">
        <f t="shared" si="39"/>
        <v>2032</v>
      </c>
      <c r="L38" s="15">
        <f t="shared" si="39"/>
        <v>2033</v>
      </c>
      <c r="M38" s="15">
        <f t="shared" si="39"/>
        <v>2034</v>
      </c>
      <c r="N38" s="15">
        <f t="shared" si="39"/>
        <v>2035</v>
      </c>
      <c r="O38" s="15">
        <f t="shared" si="39"/>
        <v>2036</v>
      </c>
      <c r="P38" s="15">
        <f t="shared" si="39"/>
        <v>2037</v>
      </c>
    </row>
    <row r="39" spans="1:16" x14ac:dyDescent="0.35">
      <c r="A39" s="46" t="s">
        <v>8</v>
      </c>
      <c r="B39" s="32">
        <v>98348.670000000013</v>
      </c>
      <c r="C39" s="32">
        <v>98945.569999999992</v>
      </c>
      <c r="D39" s="7">
        <v>98466.671015157553</v>
      </c>
      <c r="E39" s="7">
        <v>97961.03147786198</v>
      </c>
      <c r="F39" s="7">
        <v>97448.099062624635</v>
      </c>
      <c r="G39" s="7">
        <v>96932.735688073386</v>
      </c>
      <c r="H39" s="7">
        <v>96410.079435580366</v>
      </c>
      <c r="I39" s="7">
        <v>95892.285101715184</v>
      </c>
      <c r="J39" s="7">
        <v>95374.490767850017</v>
      </c>
      <c r="K39" s="7">
        <v>95118.477796762367</v>
      </c>
      <c r="L39" s="7">
        <v>94606.004682772225</v>
      </c>
      <c r="M39" s="7">
        <v>94093.531568782084</v>
      </c>
      <c r="N39" s="7">
        <v>93585.939151115657</v>
      </c>
      <c r="O39" s="7">
        <v>93088.10812609666</v>
      </c>
      <c r="P39" s="7">
        <v>93484.72779037022</v>
      </c>
    </row>
    <row r="40" spans="1:16" x14ac:dyDescent="0.35">
      <c r="A40" s="46" t="s">
        <v>9</v>
      </c>
      <c r="B40" s="32">
        <v>93718.62000000001</v>
      </c>
      <c r="C40" s="32">
        <v>93676.39</v>
      </c>
      <c r="D40" s="32">
        <v>93225.443942627302</v>
      </c>
      <c r="E40" s="7">
        <v>135458.31815616274</v>
      </c>
      <c r="F40" s="7">
        <v>220393.32517085492</v>
      </c>
      <c r="G40" s="7">
        <v>219908.04311926605</v>
      </c>
      <c r="H40" s="7">
        <v>219991.5617476218</v>
      </c>
      <c r="I40" s="7">
        <v>219499.7684177694</v>
      </c>
      <c r="J40" s="7">
        <v>219007.97508791703</v>
      </c>
      <c r="K40" s="7">
        <v>218775.41175809733</v>
      </c>
      <c r="L40" s="7">
        <v>218288.59410777333</v>
      </c>
      <c r="M40" s="7">
        <v>217801.77645744939</v>
      </c>
      <c r="N40" s="7">
        <v>217319.59516569995</v>
      </c>
      <c r="O40" s="7">
        <v>216846.68659109954</v>
      </c>
      <c r="P40" s="7">
        <v>217258.94781700982</v>
      </c>
    </row>
    <row r="41" spans="1:16" x14ac:dyDescent="0.35">
      <c r="A41" s="1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35">
      <c r="A42" s="9" t="s">
        <v>45</v>
      </c>
      <c r="B42" s="15">
        <v>2023</v>
      </c>
      <c r="C42" s="15">
        <v>2024</v>
      </c>
      <c r="D42" s="15">
        <f t="shared" ref="D42:P42" si="40">C42+1</f>
        <v>2025</v>
      </c>
      <c r="E42" s="15">
        <f t="shared" si="40"/>
        <v>2026</v>
      </c>
      <c r="F42" s="15">
        <f t="shared" si="40"/>
        <v>2027</v>
      </c>
      <c r="G42" s="15">
        <f t="shared" si="40"/>
        <v>2028</v>
      </c>
      <c r="H42" s="15">
        <f t="shared" si="40"/>
        <v>2029</v>
      </c>
      <c r="I42" s="15">
        <f t="shared" si="40"/>
        <v>2030</v>
      </c>
      <c r="J42" s="15">
        <f t="shared" si="40"/>
        <v>2031</v>
      </c>
      <c r="K42" s="15">
        <f t="shared" si="40"/>
        <v>2032</v>
      </c>
      <c r="L42" s="15">
        <f t="shared" si="40"/>
        <v>2033</v>
      </c>
      <c r="M42" s="15">
        <f t="shared" si="40"/>
        <v>2034</v>
      </c>
      <c r="N42" s="15">
        <f t="shared" si="40"/>
        <v>2035</v>
      </c>
      <c r="O42" s="15">
        <f t="shared" si="40"/>
        <v>2036</v>
      </c>
      <c r="P42" s="15">
        <f t="shared" si="40"/>
        <v>2037</v>
      </c>
    </row>
    <row r="43" spans="1:16" x14ac:dyDescent="0.35">
      <c r="A43" s="26" t="s">
        <v>58</v>
      </c>
      <c r="B43" s="40">
        <f>131691.15/B39</f>
        <v>1.3390231916710209</v>
      </c>
      <c r="C43" s="40">
        <v>1.75</v>
      </c>
      <c r="D43" s="40">
        <f>C43</f>
        <v>1.75</v>
      </c>
      <c r="E43" s="40">
        <f>D43</f>
        <v>1.75</v>
      </c>
      <c r="F43" s="24">
        <f>E43*1.05</f>
        <v>1.8375000000000001</v>
      </c>
      <c r="G43" s="24">
        <f>F43</f>
        <v>1.8375000000000001</v>
      </c>
      <c r="H43" s="24">
        <f>G43</f>
        <v>1.8375000000000001</v>
      </c>
      <c r="I43" s="24">
        <f>H43*1.05</f>
        <v>1.9293750000000003</v>
      </c>
      <c r="J43" s="24">
        <f>I43</f>
        <v>1.9293750000000003</v>
      </c>
      <c r="K43" s="24">
        <f>J43</f>
        <v>1.9293750000000003</v>
      </c>
      <c r="L43" s="24">
        <f>K43*1.05</f>
        <v>2.0258437500000004</v>
      </c>
      <c r="M43" s="24">
        <f>L43</f>
        <v>2.0258437500000004</v>
      </c>
      <c r="N43" s="24">
        <f>M43</f>
        <v>2.0258437500000004</v>
      </c>
      <c r="O43" s="24">
        <f>N43*1.05</f>
        <v>2.1271359375000003</v>
      </c>
      <c r="P43" s="24">
        <f>O43</f>
        <v>2.1271359375000003</v>
      </c>
    </row>
    <row r="44" spans="1:16" x14ac:dyDescent="0.35">
      <c r="A44" s="1" t="s">
        <v>62</v>
      </c>
      <c r="B44" s="40">
        <f>214578.59/B40</f>
        <v>2.2896046698084112</v>
      </c>
      <c r="C44" s="40">
        <v>3.23</v>
      </c>
      <c r="D44" s="40">
        <f>C44</f>
        <v>3.23</v>
      </c>
      <c r="E44" s="40">
        <f>D44</f>
        <v>3.23</v>
      </c>
      <c r="F44" s="24">
        <f>E44*0.618782</f>
        <v>1.9986658600000002</v>
      </c>
      <c r="G44" s="24">
        <f>F44*1.094557</f>
        <v>2.1876537077240203</v>
      </c>
      <c r="H44" s="24">
        <f>G44*1.083065</f>
        <v>2.3693711629561158</v>
      </c>
      <c r="I44" s="24">
        <f>H44*1.05875</f>
        <v>2.508571718779788</v>
      </c>
      <c r="J44" s="24">
        <f>I44*1.041565</f>
        <v>2.6128405022708701</v>
      </c>
      <c r="K44" s="24">
        <f>J44*1.039536</f>
        <v>2.7161417643686514</v>
      </c>
      <c r="L44" s="24">
        <f>K44*1.022859</f>
        <v>2.7782300489603542</v>
      </c>
      <c r="M44" s="24">
        <f>L44*1.014642</f>
        <v>2.8189088933372317</v>
      </c>
      <c r="N44" s="24">
        <f>M44*1.043787</f>
        <v>2.9423404570497893</v>
      </c>
      <c r="O44" s="24">
        <f>N44*1.043125</f>
        <v>3.0692288892600619</v>
      </c>
      <c r="P44" s="24">
        <f>O44*1.01495</f>
        <v>3.1151138611544997</v>
      </c>
    </row>
    <row r="45" spans="1:16" x14ac:dyDescent="0.35">
      <c r="A45" s="10"/>
      <c r="B45" s="22"/>
      <c r="C45" s="28"/>
      <c r="D45" s="29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1:16" x14ac:dyDescent="0.35">
      <c r="A46" s="34" t="s">
        <v>51</v>
      </c>
      <c r="B46" s="37">
        <f>B39*B43+B40*B44</f>
        <v>346269.74</v>
      </c>
      <c r="C46" s="37">
        <f t="shared" ref="C46:P46" si="41">C39*C43+C40*C44</f>
        <v>475729.48719999997</v>
      </c>
      <c r="D46" s="37">
        <f t="shared" si="41"/>
        <v>473434.85821121186</v>
      </c>
      <c r="E46" s="37">
        <f t="shared" si="41"/>
        <v>608962.17273066402</v>
      </c>
      <c r="F46" s="37">
        <f t="shared" si="41"/>
        <v>619553.49681843922</v>
      </c>
      <c r="G46" s="37">
        <f t="shared" si="41"/>
        <v>659196.54771503096</v>
      </c>
      <c r="H46" s="37">
        <f t="shared" si="41"/>
        <v>698395.18346137379</v>
      </c>
      <c r="I46" s="37">
        <f t="shared" si="41"/>
        <v>735643.08889965108</v>
      </c>
      <c r="J46" s="37">
        <f t="shared" si="41"/>
        <v>756246.06575526006</v>
      </c>
      <c r="K46" s="37">
        <f t="shared" si="41"/>
        <v>777744.24599224515</v>
      </c>
      <c r="L46" s="37">
        <f t="shared" si="41"/>
        <v>798112.91479459091</v>
      </c>
      <c r="M46" s="37">
        <f t="shared" si="41"/>
        <v>804582.15748459683</v>
      </c>
      <c r="N46" s="37">
        <f t="shared" si="41"/>
        <v>829018.7268828887</v>
      </c>
      <c r="O46" s="37">
        <f t="shared" si="41"/>
        <v>863563.17517463118</v>
      </c>
      <c r="P46" s="37">
        <f t="shared" si="41"/>
        <v>875641.08389491099</v>
      </c>
    </row>
    <row r="47" spans="1:16" x14ac:dyDescent="0.35">
      <c r="A47" s="34" t="s">
        <v>46</v>
      </c>
      <c r="B47" s="35">
        <f>B49-B48</f>
        <v>411457.77770800004</v>
      </c>
      <c r="C47" s="35">
        <f>C49-C48</f>
        <v>442753.87718786672</v>
      </c>
      <c r="D47" s="35">
        <f t="shared" ref="D47:O47" si="42">D49-D48</f>
        <v>439231.78137438709</v>
      </c>
      <c r="E47" s="35">
        <f t="shared" si="42"/>
        <v>500057.49398340308</v>
      </c>
      <c r="F47" s="35">
        <f t="shared" si="42"/>
        <v>619552.80300336296</v>
      </c>
      <c r="G47" s="35">
        <f t="shared" si="42"/>
        <v>659196.99528380018</v>
      </c>
      <c r="H47" s="35">
        <f t="shared" si="42"/>
        <v>698395.0990619685</v>
      </c>
      <c r="I47" s="35">
        <f t="shared" si="42"/>
        <v>735643.01347202912</v>
      </c>
      <c r="J47" s="35">
        <f t="shared" si="42"/>
        <v>756245.66574608465</v>
      </c>
      <c r="K47" s="35">
        <f t="shared" si="42"/>
        <v>777743.96337494929</v>
      </c>
      <c r="L47" s="35">
        <f t="shared" si="42"/>
        <v>798112.54593813117</v>
      </c>
      <c r="M47" s="35">
        <f t="shared" si="42"/>
        <v>804582.46306160674</v>
      </c>
      <c r="N47" s="35">
        <f t="shared" si="42"/>
        <v>829018.8926557654</v>
      </c>
      <c r="O47" s="35">
        <f t="shared" si="42"/>
        <v>863563.45302646398</v>
      </c>
      <c r="P47" s="35">
        <f t="shared" ref="P47" si="43">P49-P48</f>
        <v>875641.22454316798</v>
      </c>
    </row>
    <row r="48" spans="1:16" x14ac:dyDescent="0.35">
      <c r="A48" s="34" t="s">
        <v>43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</row>
    <row r="49" spans="1:16" x14ac:dyDescent="0.35">
      <c r="A49" s="34" t="s">
        <v>44</v>
      </c>
      <c r="B49" s="35">
        <f t="shared" ref="B49:P49" si="44">B36</f>
        <v>411457.77770800004</v>
      </c>
      <c r="C49" s="35">
        <f t="shared" si="44"/>
        <v>442753.87718786672</v>
      </c>
      <c r="D49" s="35">
        <f t="shared" si="44"/>
        <v>439231.78137438709</v>
      </c>
      <c r="E49" s="35">
        <f t="shared" si="44"/>
        <v>500057.49398340308</v>
      </c>
      <c r="F49" s="35">
        <f t="shared" si="44"/>
        <v>619552.80300336296</v>
      </c>
      <c r="G49" s="35">
        <f t="shared" si="44"/>
        <v>659196.99528380018</v>
      </c>
      <c r="H49" s="35">
        <f t="shared" si="44"/>
        <v>698395.0990619685</v>
      </c>
      <c r="I49" s="35">
        <f t="shared" si="44"/>
        <v>735643.01347202912</v>
      </c>
      <c r="J49" s="35">
        <f t="shared" si="44"/>
        <v>756245.66574608465</v>
      </c>
      <c r="K49" s="35">
        <f t="shared" si="44"/>
        <v>777743.96337494929</v>
      </c>
      <c r="L49" s="35">
        <f t="shared" si="44"/>
        <v>798112.54593813117</v>
      </c>
      <c r="M49" s="35">
        <f t="shared" si="44"/>
        <v>804582.46306160674</v>
      </c>
      <c r="N49" s="35">
        <f t="shared" si="44"/>
        <v>829018.8926557654</v>
      </c>
      <c r="O49" s="35">
        <f t="shared" si="44"/>
        <v>863563.45302646398</v>
      </c>
      <c r="P49" s="35">
        <f t="shared" si="44"/>
        <v>875641.22454316798</v>
      </c>
    </row>
    <row r="50" spans="1:16" ht="6.65" customHeight="1" x14ac:dyDescent="0.35">
      <c r="A50" s="10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21.65" hidden="1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2" customHeight="1" x14ac:dyDescent="0.35">
      <c r="A52" s="6"/>
      <c r="B52" s="6"/>
      <c r="C52" s="41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35">
      <c r="A53" s="8" t="s">
        <v>47</v>
      </c>
      <c r="B53" s="7">
        <v>66</v>
      </c>
      <c r="C53" s="7">
        <v>66</v>
      </c>
      <c r="D53" s="7">
        <v>66</v>
      </c>
      <c r="E53" s="7">
        <v>66</v>
      </c>
      <c r="F53" s="7">
        <v>66</v>
      </c>
      <c r="G53" s="7">
        <v>66</v>
      </c>
      <c r="H53" s="7">
        <v>66</v>
      </c>
      <c r="I53" s="7">
        <v>66</v>
      </c>
      <c r="J53" s="7">
        <v>66</v>
      </c>
      <c r="K53" s="7">
        <v>66</v>
      </c>
      <c r="L53" s="7">
        <v>66</v>
      </c>
      <c r="M53" s="7">
        <v>66</v>
      </c>
      <c r="N53" s="7">
        <v>66</v>
      </c>
      <c r="O53" s="7">
        <v>66</v>
      </c>
      <c r="P53" s="7">
        <v>66</v>
      </c>
    </row>
    <row r="54" spans="1:16" x14ac:dyDescent="0.35">
      <c r="A54" s="8" t="s">
        <v>63</v>
      </c>
      <c r="B54" s="7">
        <v>1054.0999999999999</v>
      </c>
      <c r="C54" s="7">
        <v>1175.8</v>
      </c>
      <c r="D54" s="7">
        <f t="shared" ref="D54:P54" si="45">C54*(1+D2)</f>
        <v>1236.9416000000001</v>
      </c>
      <c r="E54" s="7">
        <f t="shared" si="45"/>
        <v>1277.7606728000001</v>
      </c>
      <c r="F54" s="7">
        <f t="shared" si="45"/>
        <v>1308.4269289472002</v>
      </c>
      <c r="G54" s="7">
        <f t="shared" si="45"/>
        <v>1337.2123213840387</v>
      </c>
      <c r="H54" s="7">
        <f t="shared" si="45"/>
        <v>1363.9565678117194</v>
      </c>
      <c r="I54" s="7">
        <f t="shared" si="45"/>
        <v>1391.2356991679537</v>
      </c>
      <c r="J54" s="7">
        <f t="shared" si="45"/>
        <v>1419.0604131513128</v>
      </c>
      <c r="K54" s="7">
        <f t="shared" si="45"/>
        <v>1447.4416214143391</v>
      </c>
      <c r="L54" s="7">
        <f t="shared" si="45"/>
        <v>1476.3904538426259</v>
      </c>
      <c r="M54" s="7">
        <f t="shared" si="45"/>
        <v>1505.9182629194784</v>
      </c>
      <c r="N54" s="7">
        <f t="shared" si="45"/>
        <v>1536.0366281778679</v>
      </c>
      <c r="O54" s="7">
        <f t="shared" si="45"/>
        <v>1566.7573607414254</v>
      </c>
      <c r="P54" s="7">
        <f t="shared" si="45"/>
        <v>1598.0925079562539</v>
      </c>
    </row>
    <row r="55" spans="1:16" x14ac:dyDescent="0.35">
      <c r="A55" s="8" t="s">
        <v>20</v>
      </c>
      <c r="B55" s="47">
        <f>((B43*1.22*B53+B44*1.22*B53)*365/12/1000)</f>
        <v>8.8870539269423521</v>
      </c>
      <c r="C55" s="47">
        <f>((C43*1.22*C53+C44*1.22*C53)*365/12/1000)</f>
        <v>12.196766999999999</v>
      </c>
      <c r="D55" s="47">
        <f>((D43*1.23*D53+D44*1.23*D53)*365/12/1000)</f>
        <v>12.2967405</v>
      </c>
      <c r="E55" s="47">
        <f>((E43*1.24*E53+E44*1.24*E53)*365/12/1000)</f>
        <v>12.396714000000001</v>
      </c>
      <c r="F55" s="47">
        <f>((F43*1.24*F53+F44*1.24*F53)*365/12/1000)</f>
        <v>9.5493676752980008</v>
      </c>
      <c r="G55" s="47">
        <f>((G43*1.24*G53+G44*1.24*G53)*365/12/1000)</f>
        <v>10.019815124637406</v>
      </c>
      <c r="H55" s="47">
        <f t="shared" ref="H55:P55" si="46">((H43*1.22*H53+H44*1.22*H53)*365/12/1000)</f>
        <v>10.303258508753972</v>
      </c>
      <c r="I55" s="47">
        <f t="shared" si="46"/>
        <v>10.869197206299518</v>
      </c>
      <c r="J55" s="47">
        <f t="shared" si="46"/>
        <v>11.124567097386702</v>
      </c>
      <c r="K55" s="47">
        <f t="shared" si="46"/>
        <v>11.377567383453483</v>
      </c>
      <c r="L55" s="47">
        <f t="shared" si="46"/>
        <v>11.765897344723751</v>
      </c>
      <c r="M55" s="47">
        <f t="shared" si="46"/>
        <v>11.865525936429382</v>
      </c>
      <c r="N55" s="47">
        <f t="shared" si="46"/>
        <v>12.167828350695993</v>
      </c>
      <c r="O55" s="47">
        <f t="shared" si="46"/>
        <v>12.726676915459405</v>
      </c>
      <c r="P55" s="47">
        <f t="shared" si="46"/>
        <v>12.839056094374669</v>
      </c>
    </row>
    <row r="56" spans="1:16" x14ac:dyDescent="0.35">
      <c r="A56" s="9" t="s">
        <v>21</v>
      </c>
      <c r="B56" s="48">
        <f t="shared" ref="B56:P56" si="47">B55/B54</f>
        <v>8.4309400691987037E-3</v>
      </c>
      <c r="C56" s="48">
        <f t="shared" si="47"/>
        <v>1.0373164653852697E-2</v>
      </c>
      <c r="D56" s="48">
        <f t="shared" si="47"/>
        <v>9.9412458114433201E-3</v>
      </c>
      <c r="E56" s="48">
        <f t="shared" si="47"/>
        <v>9.7019060485205449E-3</v>
      </c>
      <c r="F56" s="48">
        <f t="shared" si="47"/>
        <v>7.2983576415548944E-3</v>
      </c>
      <c r="G56" s="48">
        <f t="shared" si="47"/>
        <v>7.4930622193689614E-3</v>
      </c>
      <c r="H56" s="48">
        <f t="shared" si="47"/>
        <v>7.5539491153183364E-3</v>
      </c>
      <c r="I56" s="48">
        <f t="shared" si="47"/>
        <v>7.8126209763018442E-3</v>
      </c>
      <c r="J56" s="48">
        <f t="shared" si="47"/>
        <v>7.8393893553004804E-3</v>
      </c>
      <c r="K56" s="48">
        <f t="shared" si="47"/>
        <v>7.8604671961388789E-3</v>
      </c>
      <c r="L56" s="48">
        <f t="shared" si="47"/>
        <v>7.969366988319692E-3</v>
      </c>
      <c r="M56" s="48">
        <f t="shared" si="47"/>
        <v>7.8792629245534509E-3</v>
      </c>
      <c r="N56" s="48">
        <f t="shared" si="47"/>
        <v>7.9215743475662733E-3</v>
      </c>
      <c r="O56" s="48">
        <f t="shared" si="47"/>
        <v>8.1229405614133207E-3</v>
      </c>
      <c r="P56" s="48">
        <f t="shared" si="47"/>
        <v>8.0339880391493111E-3</v>
      </c>
    </row>
    <row r="57" spans="1:1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35">
      <c r="A58" s="9" t="s">
        <v>16</v>
      </c>
      <c r="B58" s="14">
        <f t="shared" ref="B58:P58" si="48">B46+B48</f>
        <v>346269.74</v>
      </c>
      <c r="C58" s="14">
        <f t="shared" si="48"/>
        <v>475729.48719999997</v>
      </c>
      <c r="D58" s="14">
        <f t="shared" si="48"/>
        <v>473434.85821121186</v>
      </c>
      <c r="E58" s="14">
        <f t="shared" si="48"/>
        <v>608962.17273066402</v>
      </c>
      <c r="F58" s="14">
        <f t="shared" si="48"/>
        <v>619553.49681843922</v>
      </c>
      <c r="G58" s="14">
        <f t="shared" si="48"/>
        <v>659196.54771503096</v>
      </c>
      <c r="H58" s="14">
        <f t="shared" si="48"/>
        <v>698395.18346137379</v>
      </c>
      <c r="I58" s="14">
        <f t="shared" si="48"/>
        <v>735643.08889965108</v>
      </c>
      <c r="J58" s="14">
        <f t="shared" si="48"/>
        <v>756246.06575526006</v>
      </c>
      <c r="K58" s="14">
        <f t="shared" si="48"/>
        <v>777744.24599224515</v>
      </c>
      <c r="L58" s="14">
        <f t="shared" si="48"/>
        <v>798112.91479459091</v>
      </c>
      <c r="M58" s="14">
        <f t="shared" si="48"/>
        <v>804582.15748459683</v>
      </c>
      <c r="N58" s="14">
        <f t="shared" si="48"/>
        <v>829018.7268828887</v>
      </c>
      <c r="O58" s="14">
        <f t="shared" si="48"/>
        <v>863563.17517463118</v>
      </c>
      <c r="P58" s="14">
        <f t="shared" si="48"/>
        <v>875641.08389491099</v>
      </c>
    </row>
    <row r="59" spans="1:16" x14ac:dyDescent="0.35">
      <c r="A59" s="10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</row>
    <row r="60" spans="1:16" x14ac:dyDescent="0.35">
      <c r="A60" s="9" t="s">
        <v>49</v>
      </c>
      <c r="B60" s="38">
        <v>2023</v>
      </c>
      <c r="C60" s="15">
        <v>2024</v>
      </c>
      <c r="D60" s="15">
        <f t="shared" ref="D60" si="49">C60+1</f>
        <v>2025</v>
      </c>
      <c r="E60" s="15">
        <f t="shared" ref="E60" si="50">D60+1</f>
        <v>2026</v>
      </c>
      <c r="F60" s="15">
        <f t="shared" ref="F60" si="51">E60+1</f>
        <v>2027</v>
      </c>
      <c r="G60" s="15">
        <f t="shared" ref="G60" si="52">F60+1</f>
        <v>2028</v>
      </c>
      <c r="H60" s="15">
        <f t="shared" ref="H60" si="53">G60+1</f>
        <v>2029</v>
      </c>
      <c r="I60" s="15">
        <f t="shared" ref="I60" si="54">H60+1</f>
        <v>2030</v>
      </c>
      <c r="J60" s="15">
        <f t="shared" ref="J60" si="55">I60+1</f>
        <v>2031</v>
      </c>
      <c r="K60" s="15">
        <f t="shared" ref="K60" si="56">J60+1</f>
        <v>2032</v>
      </c>
      <c r="L60" s="15">
        <f t="shared" ref="L60" si="57">K60+1</f>
        <v>2033</v>
      </c>
      <c r="M60" s="15">
        <f t="shared" ref="M60" si="58">L60+1</f>
        <v>2034</v>
      </c>
      <c r="N60" s="15">
        <f t="shared" ref="N60" si="59">M60+1</f>
        <v>2035</v>
      </c>
      <c r="O60" s="15">
        <f t="shared" ref="O60:P60" si="60">N60+1</f>
        <v>2036</v>
      </c>
      <c r="P60" s="15">
        <f t="shared" si="60"/>
        <v>2037</v>
      </c>
    </row>
    <row r="61" spans="1:16" x14ac:dyDescent="0.35">
      <c r="A61" s="8" t="s">
        <v>11</v>
      </c>
      <c r="B61" s="7">
        <f t="shared" ref="B61:O61" si="61">B58</f>
        <v>346269.74</v>
      </c>
      <c r="C61" s="7">
        <f t="shared" si="61"/>
        <v>475729.48719999997</v>
      </c>
      <c r="D61" s="7">
        <f t="shared" si="61"/>
        <v>473434.85821121186</v>
      </c>
      <c r="E61" s="7">
        <f t="shared" si="61"/>
        <v>608962.17273066402</v>
      </c>
      <c r="F61" s="7">
        <f t="shared" si="61"/>
        <v>619553.49681843922</v>
      </c>
      <c r="G61" s="7">
        <f t="shared" si="61"/>
        <v>659196.54771503096</v>
      </c>
      <c r="H61" s="7">
        <f t="shared" si="61"/>
        <v>698395.18346137379</v>
      </c>
      <c r="I61" s="7">
        <f t="shared" si="61"/>
        <v>735643.08889965108</v>
      </c>
      <c r="J61" s="7">
        <f t="shared" si="61"/>
        <v>756246.06575526006</v>
      </c>
      <c r="K61" s="7">
        <f t="shared" si="61"/>
        <v>777744.24599224515</v>
      </c>
      <c r="L61" s="7">
        <f t="shared" si="61"/>
        <v>798112.91479459091</v>
      </c>
      <c r="M61" s="7">
        <f t="shared" si="61"/>
        <v>804582.15748459683</v>
      </c>
      <c r="N61" s="7">
        <f t="shared" si="61"/>
        <v>829018.7268828887</v>
      </c>
      <c r="O61" s="7">
        <f t="shared" si="61"/>
        <v>863563.17517463118</v>
      </c>
      <c r="P61" s="7">
        <f t="shared" ref="P61" si="62">P58</f>
        <v>875641.08389491099</v>
      </c>
    </row>
    <row r="62" spans="1:16" x14ac:dyDescent="0.35">
      <c r="A62" s="8" t="s">
        <v>25</v>
      </c>
      <c r="B62" s="7">
        <f t="shared" ref="B62:P62" si="63">B29</f>
        <v>247532.11</v>
      </c>
      <c r="C62" s="7">
        <f t="shared" si="63"/>
        <v>283249.12000000005</v>
      </c>
      <c r="D62" s="7">
        <f t="shared" si="63"/>
        <v>284021.04757125105</v>
      </c>
      <c r="E62" s="7">
        <f t="shared" si="63"/>
        <v>341901.93046740303</v>
      </c>
      <c r="F62" s="7">
        <f t="shared" si="63"/>
        <v>455012.27278660133</v>
      </c>
      <c r="G62" s="7">
        <f t="shared" si="63"/>
        <v>464507.02837022441</v>
      </c>
      <c r="H62" s="7">
        <f t="shared" si="63"/>
        <v>473682.27728559688</v>
      </c>
      <c r="I62" s="7">
        <f t="shared" si="63"/>
        <v>482419.59710223996</v>
      </c>
      <c r="J62" s="7">
        <f t="shared" si="63"/>
        <v>491516.21828574821</v>
      </c>
      <c r="K62" s="7">
        <f t="shared" si="63"/>
        <v>501076.44504433731</v>
      </c>
      <c r="L62" s="7">
        <f t="shared" si="63"/>
        <v>510529.74949276389</v>
      </c>
      <c r="M62" s="7">
        <f t="shared" si="63"/>
        <v>520160.75554110983</v>
      </c>
      <c r="N62" s="7">
        <f t="shared" si="63"/>
        <v>529978.42022416717</v>
      </c>
      <c r="O62" s="7">
        <f t="shared" si="63"/>
        <v>539782.26925359073</v>
      </c>
      <c r="P62" s="7">
        <f t="shared" si="63"/>
        <v>551083.24715406634</v>
      </c>
    </row>
    <row r="63" spans="1:16" x14ac:dyDescent="0.35">
      <c r="A63" s="8" t="s">
        <v>34</v>
      </c>
      <c r="B63" s="7">
        <f t="shared" ref="B63:O63" si="64">B61-B62</f>
        <v>98737.63</v>
      </c>
      <c r="C63" s="7">
        <f t="shared" si="64"/>
        <v>192480.36719999992</v>
      </c>
      <c r="D63" s="7">
        <f t="shared" si="64"/>
        <v>189413.81063996081</v>
      </c>
      <c r="E63" s="7">
        <f t="shared" si="64"/>
        <v>267060.242263261</v>
      </c>
      <c r="F63" s="7">
        <f t="shared" si="64"/>
        <v>164541.22403183789</v>
      </c>
      <c r="G63" s="7">
        <f t="shared" si="64"/>
        <v>194689.51934480655</v>
      </c>
      <c r="H63" s="7">
        <f t="shared" si="64"/>
        <v>224712.90617577691</v>
      </c>
      <c r="I63" s="7">
        <f t="shared" si="64"/>
        <v>253223.49179741112</v>
      </c>
      <c r="J63" s="7">
        <f t="shared" si="64"/>
        <v>264729.84746951185</v>
      </c>
      <c r="K63" s="7">
        <f t="shared" si="64"/>
        <v>276667.80094790785</v>
      </c>
      <c r="L63" s="7">
        <f t="shared" si="64"/>
        <v>287583.16530182702</v>
      </c>
      <c r="M63" s="7">
        <f t="shared" si="64"/>
        <v>284421.401943487</v>
      </c>
      <c r="N63" s="7">
        <f t="shared" si="64"/>
        <v>299040.30665872153</v>
      </c>
      <c r="O63" s="7">
        <f t="shared" si="64"/>
        <v>323780.90592104045</v>
      </c>
      <c r="P63" s="7">
        <f t="shared" ref="P63" si="65">P61-P62</f>
        <v>324557.83674084465</v>
      </c>
    </row>
    <row r="64" spans="1:16" x14ac:dyDescent="0.35">
      <c r="A64" s="8" t="s">
        <v>54</v>
      </c>
      <c r="B64" s="7"/>
      <c r="C64" s="7"/>
      <c r="D64" s="7">
        <v>58325.202558635385</v>
      </c>
      <c r="E64" s="7">
        <v>68589.090558635391</v>
      </c>
      <c r="F64" s="7">
        <v>77489.021886635397</v>
      </c>
      <c r="G64" s="7">
        <v>115640.89874948339</v>
      </c>
      <c r="H64" s="7">
        <v>98613.391363653616</v>
      </c>
      <c r="I64" s="7">
        <v>114456.18980324274</v>
      </c>
      <c r="J64" s="7">
        <v>123900.85844608248</v>
      </c>
      <c r="K64" s="7">
        <v>143208.79242884819</v>
      </c>
      <c r="L64" s="7">
        <v>157531.76891060892</v>
      </c>
      <c r="M64" s="7">
        <v>157531.76891060892</v>
      </c>
      <c r="N64" s="7">
        <v>157531.76891060892</v>
      </c>
      <c r="O64" s="7">
        <v>147267.88091060892</v>
      </c>
      <c r="P64" s="7">
        <v>138367.94958260894</v>
      </c>
    </row>
    <row r="65" spans="1:16" x14ac:dyDescent="0.35">
      <c r="A65" s="8" t="s">
        <v>52</v>
      </c>
      <c r="B65" s="7"/>
      <c r="C65" s="7"/>
      <c r="D65" s="7">
        <v>10324.222281449893</v>
      </c>
      <c r="E65" s="7">
        <v>12053.585900349681</v>
      </c>
      <c r="F65" s="7">
        <v>13052.958996049467</v>
      </c>
      <c r="G65" s="7">
        <v>27502.009654402049</v>
      </c>
      <c r="H65" s="7">
        <v>35575.403620999889</v>
      </c>
      <c r="I65" s="7">
        <v>45610.004364688153</v>
      </c>
      <c r="J65" s="7">
        <v>44414.46803187488</v>
      </c>
      <c r="K65" s="7">
        <v>47431.749303384466</v>
      </c>
      <c r="L65" s="7">
        <v>47115.779062778412</v>
      </c>
      <c r="M65" s="7">
        <v>39280.24616924797</v>
      </c>
      <c r="N65" s="7">
        <v>31444.713275717524</v>
      </c>
      <c r="O65" s="7">
        <v>23845.249806187072</v>
      </c>
      <c r="P65" s="7">
        <v>16704.354043856627</v>
      </c>
    </row>
    <row r="66" spans="1:16" x14ac:dyDescent="0.35">
      <c r="A66" s="9" t="s">
        <v>18</v>
      </c>
      <c r="B66" s="12"/>
      <c r="C66" s="12"/>
      <c r="D66" s="12">
        <f t="shared" ref="D66:P66" si="66">D63/(D64+D65)</f>
        <v>2.7591463596554364</v>
      </c>
      <c r="E66" s="12">
        <f t="shared" si="66"/>
        <v>3.3116490422919931</v>
      </c>
      <c r="F66" s="12">
        <f t="shared" si="66"/>
        <v>1.8172920718957293</v>
      </c>
      <c r="G66" s="12">
        <f t="shared" si="66"/>
        <v>1.3601059354996448</v>
      </c>
      <c r="H66" s="12">
        <f t="shared" si="66"/>
        <v>1.6746026089695207</v>
      </c>
      <c r="I66" s="12">
        <f t="shared" si="66"/>
        <v>1.581992332070729</v>
      </c>
      <c r="J66" s="12">
        <f t="shared" si="66"/>
        <v>1.5728208060968289</v>
      </c>
      <c r="K66" s="12">
        <f t="shared" si="66"/>
        <v>1.4512537492497593</v>
      </c>
      <c r="L66" s="12">
        <f t="shared" si="66"/>
        <v>1.4052607429199431</v>
      </c>
      <c r="M66" s="12">
        <f t="shared" si="66"/>
        <v>1.4451424717544932</v>
      </c>
      <c r="N66" s="12">
        <f t="shared" si="66"/>
        <v>1.5824207499210123</v>
      </c>
      <c r="O66" s="12">
        <f t="shared" si="66"/>
        <v>1.8922037400912275</v>
      </c>
      <c r="P66" s="12">
        <f t="shared" si="66"/>
        <v>2.0929452207186641</v>
      </c>
    </row>
    <row r="67" spans="1:16" x14ac:dyDescent="0.35">
      <c r="A67" s="1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</row>
    <row r="68" spans="1:16" ht="0.75" hidden="1" customHeight="1" x14ac:dyDescent="0.35">
      <c r="A68" s="10" t="s">
        <v>10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idden="1" x14ac:dyDescent="0.35">
      <c r="A69" s="8" t="s">
        <v>11</v>
      </c>
      <c r="B69" s="7">
        <f t="shared" ref="B69:O69" si="67">B58</f>
        <v>346269.74</v>
      </c>
      <c r="C69" s="7">
        <f t="shared" si="67"/>
        <v>475729.48719999997</v>
      </c>
      <c r="D69" s="7">
        <f t="shared" si="67"/>
        <v>473434.85821121186</v>
      </c>
      <c r="E69" s="7">
        <f t="shared" si="67"/>
        <v>608962.17273066402</v>
      </c>
      <c r="F69" s="7">
        <f t="shared" si="67"/>
        <v>619553.49681843922</v>
      </c>
      <c r="G69" s="7">
        <f t="shared" si="67"/>
        <v>659196.54771503096</v>
      </c>
      <c r="H69" s="7">
        <f t="shared" si="67"/>
        <v>698395.18346137379</v>
      </c>
      <c r="I69" s="7">
        <f t="shared" si="67"/>
        <v>735643.08889965108</v>
      </c>
      <c r="J69" s="7">
        <f t="shared" si="67"/>
        <v>756246.06575526006</v>
      </c>
      <c r="K69" s="7">
        <f t="shared" si="67"/>
        <v>777744.24599224515</v>
      </c>
      <c r="L69" s="7">
        <f t="shared" si="67"/>
        <v>798112.91479459091</v>
      </c>
      <c r="M69" s="7">
        <f t="shared" si="67"/>
        <v>804582.15748459683</v>
      </c>
      <c r="N69" s="7">
        <f t="shared" si="67"/>
        <v>829018.7268828887</v>
      </c>
      <c r="O69" s="7">
        <f t="shared" si="67"/>
        <v>863563.17517463118</v>
      </c>
      <c r="P69" s="7">
        <f t="shared" ref="P69" si="68">P58</f>
        <v>875641.08389491099</v>
      </c>
    </row>
    <row r="70" spans="1:16" hidden="1" x14ac:dyDescent="0.35">
      <c r="A70" s="8" t="s">
        <v>25</v>
      </c>
      <c r="B70" s="7">
        <f t="shared" ref="B70:P70" si="69">B29</f>
        <v>247532.11</v>
      </c>
      <c r="C70" s="7">
        <f t="shared" si="69"/>
        <v>283249.12000000005</v>
      </c>
      <c r="D70" s="7">
        <f t="shared" si="69"/>
        <v>284021.04757125105</v>
      </c>
      <c r="E70" s="7">
        <f t="shared" si="69"/>
        <v>341901.93046740303</v>
      </c>
      <c r="F70" s="7">
        <f t="shared" si="69"/>
        <v>455012.27278660133</v>
      </c>
      <c r="G70" s="7">
        <f t="shared" si="69"/>
        <v>464507.02837022441</v>
      </c>
      <c r="H70" s="7">
        <f t="shared" si="69"/>
        <v>473682.27728559688</v>
      </c>
      <c r="I70" s="7">
        <f t="shared" si="69"/>
        <v>482419.59710223996</v>
      </c>
      <c r="J70" s="7">
        <f t="shared" si="69"/>
        <v>491516.21828574821</v>
      </c>
      <c r="K70" s="7">
        <f t="shared" si="69"/>
        <v>501076.44504433731</v>
      </c>
      <c r="L70" s="7">
        <f t="shared" si="69"/>
        <v>510529.74949276389</v>
      </c>
      <c r="M70" s="7">
        <f t="shared" si="69"/>
        <v>520160.75554110983</v>
      </c>
      <c r="N70" s="7">
        <f t="shared" si="69"/>
        <v>529978.42022416717</v>
      </c>
      <c r="O70" s="7">
        <f t="shared" si="69"/>
        <v>539782.26925359073</v>
      </c>
      <c r="P70" s="7">
        <f t="shared" si="69"/>
        <v>551083.24715406634</v>
      </c>
    </row>
    <row r="71" spans="1:16" hidden="1" x14ac:dyDescent="0.35">
      <c r="A71" s="8" t="s">
        <v>17</v>
      </c>
      <c r="B71" s="7">
        <f t="shared" ref="B71:O71" si="70">B69-B70</f>
        <v>98737.63</v>
      </c>
      <c r="C71" s="7">
        <f t="shared" si="70"/>
        <v>192480.36719999992</v>
      </c>
      <c r="D71" s="7">
        <f t="shared" si="70"/>
        <v>189413.81063996081</v>
      </c>
      <c r="E71" s="7">
        <f t="shared" si="70"/>
        <v>267060.242263261</v>
      </c>
      <c r="F71" s="7">
        <f t="shared" si="70"/>
        <v>164541.22403183789</v>
      </c>
      <c r="G71" s="7">
        <f t="shared" si="70"/>
        <v>194689.51934480655</v>
      </c>
      <c r="H71" s="7">
        <f t="shared" si="70"/>
        <v>224712.90617577691</v>
      </c>
      <c r="I71" s="7">
        <f t="shared" si="70"/>
        <v>253223.49179741112</v>
      </c>
      <c r="J71" s="7">
        <f t="shared" si="70"/>
        <v>264729.84746951185</v>
      </c>
      <c r="K71" s="7">
        <f t="shared" si="70"/>
        <v>276667.80094790785</v>
      </c>
      <c r="L71" s="7">
        <f t="shared" si="70"/>
        <v>287583.16530182702</v>
      </c>
      <c r="M71" s="7">
        <f t="shared" si="70"/>
        <v>284421.401943487</v>
      </c>
      <c r="N71" s="7">
        <f t="shared" si="70"/>
        <v>299040.30665872153</v>
      </c>
      <c r="O71" s="7">
        <f t="shared" si="70"/>
        <v>323780.90592104045</v>
      </c>
      <c r="P71" s="7">
        <f t="shared" ref="P71" si="71">P69-P70</f>
        <v>324557.83674084465</v>
      </c>
    </row>
    <row r="72" spans="1:16" hidden="1" x14ac:dyDescent="0.35">
      <c r="A72" s="8" t="s">
        <v>15</v>
      </c>
      <c r="B72" s="7" t="e">
        <f>#REF!+#REF!</f>
        <v>#REF!</v>
      </c>
      <c r="C72" s="7" t="e">
        <f>#REF!+#REF!</f>
        <v>#REF!</v>
      </c>
      <c r="D72" s="7" t="e">
        <f>#REF!+#REF!</f>
        <v>#REF!</v>
      </c>
      <c r="E72" s="7" t="e">
        <f>#REF!+#REF!</f>
        <v>#REF!</v>
      </c>
      <c r="F72" s="7" t="e">
        <f>#REF!+#REF!</f>
        <v>#REF!</v>
      </c>
      <c r="G72" s="7" t="e">
        <f>#REF!+#REF!</f>
        <v>#REF!</v>
      </c>
      <c r="H72" s="7" t="e">
        <f>#REF!+#REF!</f>
        <v>#REF!</v>
      </c>
      <c r="I72" s="7" t="e">
        <f>#REF!+#REF!</f>
        <v>#REF!</v>
      </c>
      <c r="J72" s="7" t="e">
        <f>#REF!+#REF!</f>
        <v>#REF!</v>
      </c>
      <c r="K72" s="7" t="e">
        <f>#REF!+#REF!</f>
        <v>#REF!</v>
      </c>
      <c r="L72" s="7" t="e">
        <f>#REF!+#REF!</f>
        <v>#REF!</v>
      </c>
      <c r="M72" s="7" t="e">
        <f>#REF!+#REF!</f>
        <v>#REF!</v>
      </c>
      <c r="N72" s="7" t="e">
        <f>#REF!+#REF!</f>
        <v>#REF!</v>
      </c>
      <c r="O72" s="7" t="e">
        <f>#REF!+#REF!</f>
        <v>#REF!</v>
      </c>
      <c r="P72" s="7" t="e">
        <f>#REF!+#REF!</f>
        <v>#REF!</v>
      </c>
    </row>
    <row r="73" spans="1:16" ht="15" hidden="1" customHeight="1" x14ac:dyDescent="0.35">
      <c r="A73" s="9" t="s">
        <v>18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 hidden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idden="1" x14ac:dyDescent="0.35">
      <c r="A75" s="6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6"/>
      <c r="N75" s="6"/>
      <c r="O75" s="6"/>
      <c r="P75" s="6"/>
    </row>
    <row r="76" spans="1:16" x14ac:dyDescent="0.35">
      <c r="A76" s="9" t="s">
        <v>24</v>
      </c>
      <c r="B76" s="15">
        <v>2023</v>
      </c>
      <c r="C76" s="15">
        <v>2024</v>
      </c>
      <c r="D76" s="15">
        <f t="shared" ref="D76" si="72">C76+1</f>
        <v>2025</v>
      </c>
      <c r="E76" s="15">
        <f t="shared" ref="E76" si="73">D76+1</f>
        <v>2026</v>
      </c>
      <c r="F76" s="15">
        <f t="shared" ref="F76" si="74">E76+1</f>
        <v>2027</v>
      </c>
      <c r="G76" s="15">
        <f t="shared" ref="G76" si="75">F76+1</f>
        <v>2028</v>
      </c>
      <c r="H76" s="15">
        <f t="shared" ref="H76" si="76">G76+1</f>
        <v>2029</v>
      </c>
      <c r="I76" s="15">
        <f t="shared" ref="I76" si="77">H76+1</f>
        <v>2030</v>
      </c>
      <c r="J76" s="15">
        <f t="shared" ref="J76" si="78">I76+1</f>
        <v>2031</v>
      </c>
      <c r="K76" s="15">
        <f t="shared" ref="K76" si="79">J76+1</f>
        <v>2032</v>
      </c>
      <c r="L76" s="15">
        <f t="shared" ref="L76" si="80">K76+1</f>
        <v>2033</v>
      </c>
      <c r="M76" s="15">
        <f t="shared" ref="M76" si="81">L76+1</f>
        <v>2034</v>
      </c>
      <c r="N76" s="15">
        <f t="shared" ref="N76" si="82">M76+1</f>
        <v>2035</v>
      </c>
      <c r="O76" s="15">
        <f t="shared" ref="O76:P76" si="83">N76+1</f>
        <v>2036</v>
      </c>
      <c r="P76" s="15">
        <f t="shared" si="83"/>
        <v>2037</v>
      </c>
    </row>
    <row r="77" spans="1:16" x14ac:dyDescent="0.35">
      <c r="A77" s="8" t="s">
        <v>11</v>
      </c>
      <c r="B77" s="7">
        <f t="shared" ref="B77:O77" si="84">B58</f>
        <v>346269.74</v>
      </c>
      <c r="C77" s="7">
        <f t="shared" si="84"/>
        <v>475729.48719999997</v>
      </c>
      <c r="D77" s="7">
        <f t="shared" si="84"/>
        <v>473434.85821121186</v>
      </c>
      <c r="E77" s="7">
        <f t="shared" si="84"/>
        <v>608962.17273066402</v>
      </c>
      <c r="F77" s="7">
        <f t="shared" si="84"/>
        <v>619553.49681843922</v>
      </c>
      <c r="G77" s="7">
        <f t="shared" si="84"/>
        <v>659196.54771503096</v>
      </c>
      <c r="H77" s="7">
        <f t="shared" si="84"/>
        <v>698395.18346137379</v>
      </c>
      <c r="I77" s="7">
        <f t="shared" si="84"/>
        <v>735643.08889965108</v>
      </c>
      <c r="J77" s="7">
        <f t="shared" si="84"/>
        <v>756246.06575526006</v>
      </c>
      <c r="K77" s="7">
        <f t="shared" si="84"/>
        <v>777744.24599224515</v>
      </c>
      <c r="L77" s="7">
        <f t="shared" si="84"/>
        <v>798112.91479459091</v>
      </c>
      <c r="M77" s="7">
        <f t="shared" si="84"/>
        <v>804582.15748459683</v>
      </c>
      <c r="N77" s="7">
        <f t="shared" si="84"/>
        <v>829018.7268828887</v>
      </c>
      <c r="O77" s="7">
        <f t="shared" si="84"/>
        <v>863563.17517463118</v>
      </c>
      <c r="P77" s="7">
        <f t="shared" ref="P77" si="85">P58</f>
        <v>875641.08389491099</v>
      </c>
    </row>
    <row r="78" spans="1:16" x14ac:dyDescent="0.35">
      <c r="A78" s="8" t="s">
        <v>19</v>
      </c>
      <c r="B78" s="7">
        <f t="shared" ref="B78:P78" si="86">B29</f>
        <v>247532.11</v>
      </c>
      <c r="C78" s="7">
        <f t="shared" si="86"/>
        <v>283249.12000000005</v>
      </c>
      <c r="D78" s="7">
        <f t="shared" si="86"/>
        <v>284021.04757125105</v>
      </c>
      <c r="E78" s="7">
        <f t="shared" si="86"/>
        <v>341901.93046740303</v>
      </c>
      <c r="F78" s="7">
        <f t="shared" si="86"/>
        <v>455012.27278660133</v>
      </c>
      <c r="G78" s="7">
        <f t="shared" si="86"/>
        <v>464507.02837022441</v>
      </c>
      <c r="H78" s="7">
        <f t="shared" si="86"/>
        <v>473682.27728559688</v>
      </c>
      <c r="I78" s="7">
        <f t="shared" si="86"/>
        <v>482419.59710223996</v>
      </c>
      <c r="J78" s="7">
        <f t="shared" si="86"/>
        <v>491516.21828574821</v>
      </c>
      <c r="K78" s="7">
        <f t="shared" si="86"/>
        <v>501076.44504433731</v>
      </c>
      <c r="L78" s="7">
        <f t="shared" si="86"/>
        <v>510529.74949276389</v>
      </c>
      <c r="M78" s="7">
        <f t="shared" si="86"/>
        <v>520160.75554110983</v>
      </c>
      <c r="N78" s="7">
        <f t="shared" si="86"/>
        <v>529978.42022416717</v>
      </c>
      <c r="O78" s="7">
        <f t="shared" si="86"/>
        <v>539782.26925359073</v>
      </c>
      <c r="P78" s="7">
        <f t="shared" si="86"/>
        <v>551083.24715406634</v>
      </c>
    </row>
    <row r="79" spans="1:16" x14ac:dyDescent="0.35">
      <c r="A79" s="8" t="s">
        <v>22</v>
      </c>
      <c r="B79" s="7">
        <f t="shared" ref="B79:P79" si="87">B31</f>
        <v>71792.66</v>
      </c>
      <c r="C79" s="7">
        <f t="shared" si="87"/>
        <v>71792.66</v>
      </c>
      <c r="D79" s="7">
        <f t="shared" si="87"/>
        <v>71792.66</v>
      </c>
      <c r="E79" s="7">
        <f t="shared" si="87"/>
        <v>71792.66</v>
      </c>
      <c r="F79" s="7">
        <f t="shared" si="87"/>
        <v>75515.030048000001</v>
      </c>
      <c r="G79" s="7">
        <f t="shared" si="87"/>
        <v>78742.73847628801</v>
      </c>
      <c r="H79" s="7">
        <f t="shared" si="87"/>
        <v>92579.152485214203</v>
      </c>
      <c r="I79" s="7">
        <f t="shared" si="87"/>
        <v>102211.03711294546</v>
      </c>
      <c r="J79" s="7">
        <f t="shared" si="87"/>
        <v>113302.10483530938</v>
      </c>
      <c r="K79" s="7">
        <f t="shared" si="87"/>
        <v>116727.37132977924</v>
      </c>
      <c r="L79" s="7">
        <f t="shared" si="87"/>
        <v>123729.71538752895</v>
      </c>
      <c r="M79" s="7">
        <f t="shared" si="87"/>
        <v>128924.18152491418</v>
      </c>
      <c r="N79" s="7">
        <f t="shared" si="87"/>
        <v>128924.18152491418</v>
      </c>
      <c r="O79" s="7">
        <f t="shared" si="87"/>
        <v>138820.35746327715</v>
      </c>
      <c r="P79" s="7">
        <f t="shared" si="87"/>
        <v>149085.22101610244</v>
      </c>
    </row>
    <row r="80" spans="1:16" x14ac:dyDescent="0.35">
      <c r="A80" s="34" t="s">
        <v>23</v>
      </c>
      <c r="B80" s="32">
        <f t="shared" ref="B80" si="88">B77-B78</f>
        <v>98737.63</v>
      </c>
      <c r="C80" s="32">
        <f t="shared" ref="C80:O80" si="89">C77-C78</f>
        <v>192480.36719999992</v>
      </c>
      <c r="D80" s="32">
        <f t="shared" si="89"/>
        <v>189413.81063996081</v>
      </c>
      <c r="E80" s="32">
        <f t="shared" si="89"/>
        <v>267060.242263261</v>
      </c>
      <c r="F80" s="32">
        <f t="shared" si="89"/>
        <v>164541.22403183789</v>
      </c>
      <c r="G80" s="32">
        <f t="shared" si="89"/>
        <v>194689.51934480655</v>
      </c>
      <c r="H80" s="32">
        <f t="shared" si="89"/>
        <v>224712.90617577691</v>
      </c>
      <c r="I80" s="32">
        <f t="shared" si="89"/>
        <v>253223.49179741112</v>
      </c>
      <c r="J80" s="32">
        <f t="shared" si="89"/>
        <v>264729.84746951185</v>
      </c>
      <c r="K80" s="32">
        <f t="shared" si="89"/>
        <v>276667.80094790785</v>
      </c>
      <c r="L80" s="32">
        <f t="shared" si="89"/>
        <v>287583.16530182702</v>
      </c>
      <c r="M80" s="32">
        <f t="shared" si="89"/>
        <v>284421.401943487</v>
      </c>
      <c r="N80" s="32">
        <f t="shared" si="89"/>
        <v>299040.30665872153</v>
      </c>
      <c r="O80" s="32">
        <f t="shared" si="89"/>
        <v>323780.90592104045</v>
      </c>
      <c r="P80" s="32">
        <f t="shared" ref="P80" si="90">P77-P78</f>
        <v>324557.83674084465</v>
      </c>
    </row>
    <row r="81" spans="1:16" x14ac:dyDescent="0.35">
      <c r="A81" s="34" t="s">
        <v>27</v>
      </c>
      <c r="B81" s="32">
        <f t="shared" ref="B81" si="91">B77-(B78+B79)</f>
        <v>26944.969999999972</v>
      </c>
      <c r="C81" s="32">
        <f t="shared" ref="C81:O81" si="92">C77-(C78+C79)</f>
        <v>120687.70719999995</v>
      </c>
      <c r="D81" s="32">
        <f t="shared" si="92"/>
        <v>117621.15063996078</v>
      </c>
      <c r="E81" s="32">
        <f t="shared" si="92"/>
        <v>195267.58226326096</v>
      </c>
      <c r="F81" s="32">
        <f t="shared" si="92"/>
        <v>89026.193983837846</v>
      </c>
      <c r="G81" s="32">
        <f t="shared" si="92"/>
        <v>115946.78086851852</v>
      </c>
      <c r="H81" s="32">
        <f t="shared" si="92"/>
        <v>132133.75369056268</v>
      </c>
      <c r="I81" s="32">
        <f t="shared" si="92"/>
        <v>151012.45468446566</v>
      </c>
      <c r="J81" s="32">
        <f t="shared" si="92"/>
        <v>151427.74263420247</v>
      </c>
      <c r="K81" s="32">
        <f t="shared" si="92"/>
        <v>159940.42961812858</v>
      </c>
      <c r="L81" s="32">
        <f t="shared" si="92"/>
        <v>163853.44991429802</v>
      </c>
      <c r="M81" s="32">
        <f t="shared" si="92"/>
        <v>155497.22041857278</v>
      </c>
      <c r="N81" s="32">
        <f t="shared" si="92"/>
        <v>170116.12513380731</v>
      </c>
      <c r="O81" s="32">
        <f t="shared" si="92"/>
        <v>184960.54845776327</v>
      </c>
      <c r="P81" s="32">
        <f t="shared" ref="P81" si="93">P77-(P78+P79)</f>
        <v>175472.61572474218</v>
      </c>
    </row>
    <row r="82" spans="1:1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x14ac:dyDescent="0.35">
      <c r="A83" s="9" t="s">
        <v>55</v>
      </c>
      <c r="B83" s="15">
        <v>2023</v>
      </c>
      <c r="C83" s="15">
        <v>2024</v>
      </c>
      <c r="D83" s="15">
        <v>2025</v>
      </c>
      <c r="E83" s="15">
        <f t="shared" ref="E83" si="94">D83+1</f>
        <v>2026</v>
      </c>
      <c r="F83" s="15">
        <f t="shared" ref="F83" si="95">E83+1</f>
        <v>2027</v>
      </c>
      <c r="G83" s="15">
        <f t="shared" ref="G83" si="96">F83+1</f>
        <v>2028</v>
      </c>
      <c r="H83" s="15">
        <f t="shared" ref="H83" si="97">G83+1</f>
        <v>2029</v>
      </c>
      <c r="I83" s="15">
        <f t="shared" ref="I83" si="98">H83+1</f>
        <v>2030</v>
      </c>
      <c r="J83" s="15">
        <f t="shared" ref="J83" si="99">I83+1</f>
        <v>2031</v>
      </c>
      <c r="K83" s="15">
        <f t="shared" ref="K83" si="100">J83+1</f>
        <v>2032</v>
      </c>
      <c r="L83" s="15">
        <f t="shared" ref="L83" si="101">K83+1</f>
        <v>2033</v>
      </c>
      <c r="M83" s="15">
        <f t="shared" ref="M83" si="102">L83+1</f>
        <v>2034</v>
      </c>
      <c r="N83" s="15">
        <f t="shared" ref="N83" si="103">M83+1</f>
        <v>2035</v>
      </c>
      <c r="O83" s="15">
        <f t="shared" ref="O83:P83" si="104">N83+1</f>
        <v>2036</v>
      </c>
      <c r="P83" s="15">
        <f t="shared" si="104"/>
        <v>2037</v>
      </c>
    </row>
    <row r="84" spans="1:16" x14ac:dyDescent="0.35">
      <c r="A84" s="8" t="s">
        <v>35</v>
      </c>
      <c r="B84" s="7">
        <f t="shared" ref="B84:C84" si="105">B58</f>
        <v>346269.74</v>
      </c>
      <c r="C84" s="7">
        <f t="shared" si="105"/>
        <v>475729.48719999997</v>
      </c>
      <c r="D84" s="7">
        <f t="shared" ref="D84:O84" si="106">D58</f>
        <v>473434.85821121186</v>
      </c>
      <c r="E84" s="7">
        <f t="shared" si="106"/>
        <v>608962.17273066402</v>
      </c>
      <c r="F84" s="7">
        <f t="shared" si="106"/>
        <v>619553.49681843922</v>
      </c>
      <c r="G84" s="7">
        <f t="shared" si="106"/>
        <v>659196.54771503096</v>
      </c>
      <c r="H84" s="7">
        <f t="shared" si="106"/>
        <v>698395.18346137379</v>
      </c>
      <c r="I84" s="7">
        <f t="shared" si="106"/>
        <v>735643.08889965108</v>
      </c>
      <c r="J84" s="7">
        <f t="shared" si="106"/>
        <v>756246.06575526006</v>
      </c>
      <c r="K84" s="7">
        <f t="shared" si="106"/>
        <v>777744.24599224515</v>
      </c>
      <c r="L84" s="7">
        <f t="shared" si="106"/>
        <v>798112.91479459091</v>
      </c>
      <c r="M84" s="7">
        <f t="shared" si="106"/>
        <v>804582.15748459683</v>
      </c>
      <c r="N84" s="7">
        <f t="shared" si="106"/>
        <v>829018.7268828887</v>
      </c>
      <c r="O84" s="7">
        <f t="shared" si="106"/>
        <v>863563.17517463118</v>
      </c>
      <c r="P84" s="7">
        <f t="shared" ref="P84" si="107">P58</f>
        <v>875641.08389491099</v>
      </c>
    </row>
    <row r="85" spans="1:16" ht="14.4" customHeight="1" x14ac:dyDescent="0.35">
      <c r="A85" s="8" t="s">
        <v>48</v>
      </c>
      <c r="B85" s="49">
        <v>0</v>
      </c>
      <c r="C85" s="49">
        <v>0</v>
      </c>
      <c r="D85" s="49">
        <v>0</v>
      </c>
      <c r="E85" s="49">
        <v>102638.88</v>
      </c>
      <c r="F85" s="49">
        <v>88999.313279999988</v>
      </c>
      <c r="G85" s="49">
        <v>381518.76862847991</v>
      </c>
      <c r="H85" s="49">
        <v>265585.05407347198</v>
      </c>
      <c r="I85" s="49">
        <v>305819.88205047557</v>
      </c>
      <c r="J85" s="49">
        <v>94446.686428397312</v>
      </c>
      <c r="K85" s="49">
        <v>193079.33982765715</v>
      </c>
      <c r="L85" s="49">
        <v>143229.76481760747</v>
      </c>
      <c r="M85" s="49">
        <v>0</v>
      </c>
      <c r="N85" s="49">
        <v>272872.49830044934</v>
      </c>
      <c r="O85" s="49">
        <v>283038.5170815796</v>
      </c>
      <c r="P85" s="49">
        <v>0</v>
      </c>
    </row>
    <row r="86" spans="1:16" x14ac:dyDescent="0.35">
      <c r="A86" s="8" t="s">
        <v>36</v>
      </c>
      <c r="B86" s="7">
        <f t="shared" ref="B86:P86" si="108">B29</f>
        <v>247532.11</v>
      </c>
      <c r="C86" s="7">
        <f t="shared" si="108"/>
        <v>283249.12000000005</v>
      </c>
      <c r="D86" s="7">
        <f t="shared" si="108"/>
        <v>284021.04757125105</v>
      </c>
      <c r="E86" s="7">
        <f t="shared" si="108"/>
        <v>341901.93046740303</v>
      </c>
      <c r="F86" s="7">
        <f t="shared" si="108"/>
        <v>455012.27278660133</v>
      </c>
      <c r="G86" s="7">
        <f t="shared" si="108"/>
        <v>464507.02837022441</v>
      </c>
      <c r="H86" s="7">
        <f t="shared" si="108"/>
        <v>473682.27728559688</v>
      </c>
      <c r="I86" s="7">
        <f t="shared" si="108"/>
        <v>482419.59710223996</v>
      </c>
      <c r="J86" s="7">
        <f t="shared" si="108"/>
        <v>491516.21828574821</v>
      </c>
      <c r="K86" s="7">
        <f t="shared" si="108"/>
        <v>501076.44504433731</v>
      </c>
      <c r="L86" s="7">
        <f t="shared" si="108"/>
        <v>510529.74949276389</v>
      </c>
      <c r="M86" s="7">
        <f t="shared" si="108"/>
        <v>520160.75554110983</v>
      </c>
      <c r="N86" s="7">
        <f t="shared" si="108"/>
        <v>529978.42022416717</v>
      </c>
      <c r="O86" s="7">
        <f t="shared" si="108"/>
        <v>539782.26925359073</v>
      </c>
      <c r="P86" s="7">
        <f t="shared" si="108"/>
        <v>551083.24715406634</v>
      </c>
    </row>
    <row r="87" spans="1:16" x14ac:dyDescent="0.35">
      <c r="A87" s="8" t="s">
        <v>37</v>
      </c>
      <c r="B87" s="7">
        <v>0</v>
      </c>
      <c r="C87" s="7">
        <v>0</v>
      </c>
      <c r="D87" s="7">
        <v>0</v>
      </c>
      <c r="E87" s="7">
        <v>136851.84</v>
      </c>
      <c r="F87" s="7">
        <v>118665.75103999999</v>
      </c>
      <c r="G87" s="7">
        <v>508691.69150463992</v>
      </c>
      <c r="H87" s="7">
        <v>354113.40543129598</v>
      </c>
      <c r="I87" s="7">
        <v>407759.84273396741</v>
      </c>
      <c r="J87" s="7">
        <v>125928.91523786308</v>
      </c>
      <c r="K87" s="7">
        <v>257439.11977020954</v>
      </c>
      <c r="L87" s="7">
        <v>190973.01975680998</v>
      </c>
      <c r="M87" s="7">
        <v>0</v>
      </c>
      <c r="N87" s="7">
        <v>363829.99773393245</v>
      </c>
      <c r="O87" s="7">
        <v>377384.68944210612</v>
      </c>
      <c r="P87" s="7">
        <v>0</v>
      </c>
    </row>
    <row r="88" spans="1:16" x14ac:dyDescent="0.35">
      <c r="A88" s="8" t="s">
        <v>38</v>
      </c>
      <c r="B88" s="7"/>
      <c r="C88" s="7"/>
      <c r="D88" s="7">
        <f>D64+D65</f>
        <v>68649.424840085281</v>
      </c>
      <c r="E88" s="7">
        <f t="shared" ref="E88:P88" si="109">E64+E65</f>
        <v>80642.676458985079</v>
      </c>
      <c r="F88" s="7">
        <f t="shared" si="109"/>
        <v>90541.98088268486</v>
      </c>
      <c r="G88" s="7">
        <f t="shared" si="109"/>
        <v>143142.90840388543</v>
      </c>
      <c r="H88" s="7">
        <f t="shared" si="109"/>
        <v>134188.7949846535</v>
      </c>
      <c r="I88" s="7">
        <f t="shared" si="109"/>
        <v>160066.19416793089</v>
      </c>
      <c r="J88" s="7">
        <f t="shared" si="109"/>
        <v>168315.32647795737</v>
      </c>
      <c r="K88" s="7">
        <f t="shared" si="109"/>
        <v>190640.54173223267</v>
      </c>
      <c r="L88" s="7">
        <f t="shared" si="109"/>
        <v>204647.54797338735</v>
      </c>
      <c r="M88" s="7">
        <f t="shared" si="109"/>
        <v>196812.01507985691</v>
      </c>
      <c r="N88" s="7">
        <f t="shared" si="109"/>
        <v>188976.48218632644</v>
      </c>
      <c r="O88" s="7">
        <f t="shared" si="109"/>
        <v>171113.13071679597</v>
      </c>
      <c r="P88" s="7">
        <f t="shared" si="109"/>
        <v>155072.30362646555</v>
      </c>
    </row>
    <row r="89" spans="1:16" x14ac:dyDescent="0.35">
      <c r="A89" s="34" t="s">
        <v>56</v>
      </c>
      <c r="B89" s="32">
        <f t="shared" ref="B89:C89" si="110">B84+B85-B86-B87-B88</f>
        <v>98737.63</v>
      </c>
      <c r="C89" s="32">
        <f t="shared" si="110"/>
        <v>192480.36719999992</v>
      </c>
      <c r="D89" s="32">
        <f t="shared" ref="D89:P89" si="111">D84+D85-D86-D87-D88</f>
        <v>120764.38579987553</v>
      </c>
      <c r="E89" s="32">
        <f t="shared" si="111"/>
        <v>152204.60580427593</v>
      </c>
      <c r="F89" s="32">
        <f t="shared" si="111"/>
        <v>44332.805389153029</v>
      </c>
      <c r="G89" s="32">
        <f t="shared" si="111"/>
        <v>-75626.311935238889</v>
      </c>
      <c r="H89" s="32">
        <f t="shared" si="111"/>
        <v>1995.7598332993512</v>
      </c>
      <c r="I89" s="32">
        <f t="shared" si="111"/>
        <v>-8782.6630540116166</v>
      </c>
      <c r="J89" s="32">
        <f t="shared" si="111"/>
        <v>64932.292182088713</v>
      </c>
      <c r="K89" s="32">
        <f t="shared" si="111"/>
        <v>21667.479273122852</v>
      </c>
      <c r="L89" s="32">
        <f t="shared" si="111"/>
        <v>35192.362389237154</v>
      </c>
      <c r="M89" s="32">
        <f t="shared" si="111"/>
        <v>87609.38686363009</v>
      </c>
      <c r="N89" s="32">
        <f t="shared" si="111"/>
        <v>19106.325038911862</v>
      </c>
      <c r="O89" s="32">
        <f t="shared" si="111"/>
        <v>58321.602843718021</v>
      </c>
      <c r="P89" s="32">
        <f t="shared" si="111"/>
        <v>169485.5331143791</v>
      </c>
    </row>
    <row r="90" spans="1:16" x14ac:dyDescent="0.35">
      <c r="A90" s="34" t="s">
        <v>53</v>
      </c>
      <c r="B90" s="34"/>
      <c r="C90" s="34"/>
      <c r="D90" s="32">
        <f>C90+D89</f>
        <v>120764.38579987553</v>
      </c>
      <c r="E90" s="32">
        <f t="shared" ref="E90:P90" si="112">D90+E89</f>
        <v>272968.99160415144</v>
      </c>
      <c r="F90" s="32">
        <f t="shared" si="112"/>
        <v>317301.79699330445</v>
      </c>
      <c r="G90" s="32">
        <f t="shared" si="112"/>
        <v>241675.48505806556</v>
      </c>
      <c r="H90" s="32">
        <f t="shared" si="112"/>
        <v>243671.24489136491</v>
      </c>
      <c r="I90" s="32">
        <f t="shared" si="112"/>
        <v>234888.5818373533</v>
      </c>
      <c r="J90" s="32">
        <f t="shared" si="112"/>
        <v>299820.87401944201</v>
      </c>
      <c r="K90" s="32">
        <f t="shared" si="112"/>
        <v>321488.35329256486</v>
      </c>
      <c r="L90" s="32">
        <f t="shared" si="112"/>
        <v>356680.71568180202</v>
      </c>
      <c r="M90" s="32">
        <f t="shared" si="112"/>
        <v>444290.10254543211</v>
      </c>
      <c r="N90" s="32">
        <f t="shared" si="112"/>
        <v>463396.42758434394</v>
      </c>
      <c r="O90" s="32">
        <f t="shared" si="112"/>
        <v>521718.03042806196</v>
      </c>
      <c r="P90" s="32">
        <f t="shared" si="112"/>
        <v>691203.563542441</v>
      </c>
    </row>
    <row r="91" spans="1:16" x14ac:dyDescent="0.35">
      <c r="B91" s="6"/>
      <c r="C91" s="6"/>
    </row>
    <row r="92" spans="1:16" x14ac:dyDescent="0.35">
      <c r="B92" s="6"/>
      <c r="C92" s="6"/>
    </row>
    <row r="93" spans="1:16" x14ac:dyDescent="0.35">
      <c r="B93" s="6"/>
    </row>
    <row r="94" spans="1:16" x14ac:dyDescent="0.35">
      <c r="B94" s="6"/>
      <c r="C94" s="6"/>
    </row>
    <row r="95" spans="1:16" x14ac:dyDescent="0.35">
      <c r="B95" s="6"/>
      <c r="C95" s="6"/>
    </row>
    <row r="96" spans="1:16" x14ac:dyDescent="0.35">
      <c r="B96" s="6"/>
      <c r="C96" s="6"/>
    </row>
    <row r="97" spans="2:3" x14ac:dyDescent="0.35">
      <c r="B97" s="6"/>
      <c r="C97" s="6"/>
    </row>
    <row r="98" spans="2:3" x14ac:dyDescent="0.35">
      <c r="B98" s="6"/>
      <c r="C98" s="6"/>
    </row>
    <row r="99" spans="2:3" x14ac:dyDescent="0.35">
      <c r="B99" s="6"/>
      <c r="C99" s="6"/>
    </row>
    <row r="100" spans="2:3" x14ac:dyDescent="0.35">
      <c r="B100" s="6"/>
      <c r="C100" s="6"/>
    </row>
    <row r="101" spans="2:3" x14ac:dyDescent="0.35">
      <c r="B101" s="6"/>
      <c r="C101" s="6"/>
    </row>
    <row r="102" spans="2:3" x14ac:dyDescent="0.35">
      <c r="B102" s="6"/>
      <c r="C102" s="6"/>
    </row>
    <row r="103" spans="2:3" x14ac:dyDescent="0.35">
      <c r="B103" s="6"/>
      <c r="C103" s="6"/>
    </row>
    <row r="104" spans="2:3" x14ac:dyDescent="0.35">
      <c r="B104" s="6"/>
      <c r="C104" s="6"/>
    </row>
    <row r="105" spans="2:3" x14ac:dyDescent="0.35">
      <c r="B105" s="6"/>
      <c r="C105" s="6"/>
    </row>
    <row r="106" spans="2:3" x14ac:dyDescent="0.35">
      <c r="B106" s="6"/>
      <c r="C106" s="6"/>
    </row>
    <row r="107" spans="2:3" x14ac:dyDescent="0.35">
      <c r="B107" s="6"/>
      <c r="C107" s="6"/>
    </row>
    <row r="108" spans="2:3" x14ac:dyDescent="0.35">
      <c r="B108" s="6"/>
      <c r="C108" s="6"/>
    </row>
    <row r="109" spans="2:3" x14ac:dyDescent="0.35">
      <c r="B109" s="6"/>
      <c r="C109" s="6"/>
    </row>
    <row r="110" spans="2:3" x14ac:dyDescent="0.35">
      <c r="B110" s="6"/>
      <c r="C110" s="6"/>
    </row>
    <row r="111" spans="2:3" x14ac:dyDescent="0.35">
      <c r="B111" s="6"/>
      <c r="C111" s="6"/>
    </row>
    <row r="112" spans="2:3" x14ac:dyDescent="0.35">
      <c r="B112" s="6"/>
      <c r="C112" s="6"/>
    </row>
    <row r="113" spans="2:3" x14ac:dyDescent="0.35">
      <c r="B113" s="6"/>
      <c r="C113" s="6"/>
    </row>
    <row r="114" spans="2:3" x14ac:dyDescent="0.35">
      <c r="B114" s="6"/>
      <c r="C114" s="6"/>
    </row>
    <row r="115" spans="2:3" x14ac:dyDescent="0.35">
      <c r="B115" s="6"/>
      <c r="C115" s="6"/>
    </row>
    <row r="116" spans="2:3" x14ac:dyDescent="0.35">
      <c r="B116" s="6"/>
      <c r="C116" s="6"/>
    </row>
    <row r="117" spans="2:3" x14ac:dyDescent="0.35">
      <c r="B117" s="6"/>
      <c r="C117" s="6"/>
    </row>
    <row r="118" spans="2:3" x14ac:dyDescent="0.35">
      <c r="B118" s="6"/>
      <c r="C118" s="6"/>
    </row>
  </sheetData>
  <pageMargins left="0.7" right="0.7" top="0.75" bottom="0.75" header="0.3" footer="0.3"/>
  <pageSetup paperSize="9" orientation="portrait" r:id="rId1"/>
  <ignoredErrors>
    <ignoredError sqref="H23 D55 D26 F43 I43 L43 O43" formula="1"/>
    <ignoredError sqref="C81:O81 B7 E7:O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Järva Haldus finantsprognoos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2026-02-10T14:48:00Z</dcterms:modified>
</cp:coreProperties>
</file>